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AZNA\Users\Public\Public\2023\ФІНПЛАНИ\2022\ЗВІТ ЗА 2022 РІК\"/>
    </mc:Choice>
  </mc:AlternateContent>
  <bookViews>
    <workbookView xWindow="0" yWindow="0" windowWidth="28800" windowHeight="12300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до руху " sheetId="27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3">'Розшифровка до руху '!$4:$5</definedName>
    <definedName name="_xlnm.Print_Titles" localSheetId="5">'Розшифровка за джерелами'!$4:$6</definedName>
    <definedName name="_xlnm.Print_Titles" localSheetId="4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фінпла'!$A$1:$H$149</definedName>
    <definedName name="_xlnm.Print_Area" localSheetId="1">'Розшифровка 1 до Формування'!$A$1:$H$132</definedName>
    <definedName name="_xlnm.Print_Area" localSheetId="2">'Розшифровка 2 до формування'!$A$1:$H$364</definedName>
    <definedName name="_xlnm.Print_Area" localSheetId="3">'Розшифровка до руху '!$A$1:$G$250</definedName>
    <definedName name="_xlnm.Print_Area" localSheetId="5">'Розшифровка за джерелами'!$A$1:$P$155</definedName>
    <definedName name="_xlnm.Print_Area" localSheetId="4">'Розшифровка кап'!$A$1:$G$232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62913"/>
</workbook>
</file>

<file path=xl/calcChain.xml><?xml version="1.0" encoding="utf-8"?>
<calcChain xmlns="http://schemas.openxmlformats.org/spreadsheetml/2006/main">
  <c r="D133" i="14" l="1"/>
  <c r="D77" i="14" l="1"/>
  <c r="F86" i="14"/>
  <c r="L149" i="9"/>
  <c r="K149" i="9"/>
  <c r="J149" i="9"/>
  <c r="I149" i="9"/>
  <c r="H149" i="9"/>
  <c r="G149" i="9"/>
  <c r="F149" i="9"/>
  <c r="E149" i="9"/>
  <c r="N150" i="9"/>
  <c r="N149" i="9" s="1"/>
  <c r="N148" i="9"/>
  <c r="N147" i="9"/>
  <c r="N146" i="9"/>
  <c r="N145" i="9"/>
  <c r="N144" i="9"/>
  <c r="N143" i="9"/>
  <c r="N142" i="9"/>
  <c r="N141" i="9"/>
  <c r="N140" i="9"/>
  <c r="N139" i="9"/>
  <c r="N138" i="9"/>
  <c r="P138" i="9" s="1"/>
  <c r="N137" i="9"/>
  <c r="N136" i="9"/>
  <c r="N135" i="9"/>
  <c r="N134" i="9"/>
  <c r="N133" i="9"/>
  <c r="N132" i="9"/>
  <c r="P132" i="9" s="1"/>
  <c r="N131" i="9"/>
  <c r="N130" i="9"/>
  <c r="N129" i="9"/>
  <c r="N128" i="9"/>
  <c r="N127" i="9"/>
  <c r="N126" i="9"/>
  <c r="P126" i="9" s="1"/>
  <c r="N125" i="9"/>
  <c r="P125" i="9" s="1"/>
  <c r="N124" i="9"/>
  <c r="N123" i="9"/>
  <c r="N122" i="9"/>
  <c r="N121" i="9"/>
  <c r="N120" i="9"/>
  <c r="P120" i="9" s="1"/>
  <c r="N119" i="9"/>
  <c r="N118" i="9"/>
  <c r="N117" i="9"/>
  <c r="N116" i="9"/>
  <c r="N115" i="9"/>
  <c r="N114" i="9"/>
  <c r="P114" i="9" s="1"/>
  <c r="N113" i="9"/>
  <c r="N112" i="9"/>
  <c r="N111" i="9"/>
  <c r="P111" i="9" s="1"/>
  <c r="N110" i="9"/>
  <c r="N109" i="9"/>
  <c r="N108" i="9"/>
  <c r="P108" i="9" s="1"/>
  <c r="N107" i="9"/>
  <c r="N106" i="9"/>
  <c r="N105" i="9"/>
  <c r="P105" i="9" s="1"/>
  <c r="N104" i="9"/>
  <c r="N103" i="9"/>
  <c r="N102" i="9"/>
  <c r="P102" i="9" s="1"/>
  <c r="N101" i="9"/>
  <c r="N100" i="9"/>
  <c r="N99" i="9"/>
  <c r="N98" i="9"/>
  <c r="N97" i="9"/>
  <c r="N96" i="9"/>
  <c r="P96" i="9" s="1"/>
  <c r="N95" i="9"/>
  <c r="N94" i="9"/>
  <c r="N93" i="9"/>
  <c r="O93" i="9" s="1"/>
  <c r="N92" i="9"/>
  <c r="N91" i="9"/>
  <c r="N90" i="9"/>
  <c r="N89" i="9"/>
  <c r="N88" i="9"/>
  <c r="N87" i="9"/>
  <c r="N86" i="9"/>
  <c r="N85" i="9"/>
  <c r="N84" i="9"/>
  <c r="N83" i="9"/>
  <c r="N82" i="9"/>
  <c r="N81" i="9"/>
  <c r="N80" i="9"/>
  <c r="N79" i="9"/>
  <c r="N78" i="9"/>
  <c r="P78" i="9" s="1"/>
  <c r="N77" i="9"/>
  <c r="N75" i="9"/>
  <c r="N74" i="9"/>
  <c r="N73" i="9"/>
  <c r="N72" i="9"/>
  <c r="N71" i="9"/>
  <c r="P71" i="9" s="1"/>
  <c r="N70" i="9"/>
  <c r="N69" i="9"/>
  <c r="N68" i="9"/>
  <c r="N67" i="9"/>
  <c r="N66" i="9"/>
  <c r="N65" i="9"/>
  <c r="O65" i="9" s="1"/>
  <c r="N64" i="9"/>
  <c r="N63" i="9"/>
  <c r="N62" i="9"/>
  <c r="N61" i="9"/>
  <c r="N60" i="9"/>
  <c r="N59" i="9"/>
  <c r="O59" i="9" s="1"/>
  <c r="N58" i="9"/>
  <c r="N57" i="9"/>
  <c r="N56" i="9"/>
  <c r="N55" i="9"/>
  <c r="N54" i="9"/>
  <c r="N53" i="9"/>
  <c r="O53" i="9" s="1"/>
  <c r="N52" i="9"/>
  <c r="P52" i="9" s="1"/>
  <c r="N51" i="9"/>
  <c r="N50" i="9"/>
  <c r="N49" i="9"/>
  <c r="N48" i="9"/>
  <c r="N47" i="9"/>
  <c r="O47" i="9" s="1"/>
  <c r="N46" i="9"/>
  <c r="N45" i="9"/>
  <c r="N44" i="9"/>
  <c r="N43" i="9"/>
  <c r="N42" i="9"/>
  <c r="N41" i="9"/>
  <c r="O41" i="9" s="1"/>
  <c r="N40" i="9"/>
  <c r="N39" i="9"/>
  <c r="N38" i="9"/>
  <c r="N37" i="9"/>
  <c r="N36" i="9"/>
  <c r="N35" i="9"/>
  <c r="O35" i="9" s="1"/>
  <c r="N34" i="9"/>
  <c r="N33" i="9"/>
  <c r="N32" i="9"/>
  <c r="P32" i="9" s="1"/>
  <c r="N31" i="9"/>
  <c r="N30" i="9"/>
  <c r="N29" i="9"/>
  <c r="O29" i="9" s="1"/>
  <c r="N28" i="9"/>
  <c r="N27" i="9"/>
  <c r="N26" i="9"/>
  <c r="N25" i="9"/>
  <c r="N24" i="9"/>
  <c r="N23" i="9"/>
  <c r="N22" i="9"/>
  <c r="O22" i="9" s="1"/>
  <c r="N21" i="9"/>
  <c r="N20" i="9"/>
  <c r="N19" i="9"/>
  <c r="N18" i="9"/>
  <c r="N17" i="9"/>
  <c r="N16" i="9"/>
  <c r="N15" i="9"/>
  <c r="N14" i="9"/>
  <c r="N13" i="9"/>
  <c r="N12" i="9"/>
  <c r="N11" i="9"/>
  <c r="N10" i="9"/>
  <c r="N9" i="9"/>
  <c r="N8" i="9"/>
  <c r="M150" i="9"/>
  <c r="M149" i="9" s="1"/>
  <c r="M148" i="9"/>
  <c r="P148" i="9" s="1"/>
  <c r="M147" i="9"/>
  <c r="M146" i="9"/>
  <c r="M145" i="9"/>
  <c r="M144" i="9"/>
  <c r="M143" i="9"/>
  <c r="M142" i="9"/>
  <c r="P142" i="9" s="1"/>
  <c r="M141" i="9"/>
  <c r="M140" i="9"/>
  <c r="M139" i="9"/>
  <c r="M138" i="9"/>
  <c r="M137" i="9"/>
  <c r="M136" i="9"/>
  <c r="P136" i="9" s="1"/>
  <c r="M135" i="9"/>
  <c r="M134" i="9"/>
  <c r="P134" i="9" s="1"/>
  <c r="M133" i="9"/>
  <c r="M132" i="9"/>
  <c r="M131" i="9"/>
  <c r="M130" i="9"/>
  <c r="P130" i="9" s="1"/>
  <c r="M129" i="9"/>
  <c r="M128" i="9"/>
  <c r="M127" i="9"/>
  <c r="M126" i="9"/>
  <c r="M125" i="9"/>
  <c r="M124" i="9"/>
  <c r="P124" i="9" s="1"/>
  <c r="M123" i="9"/>
  <c r="M122" i="9"/>
  <c r="M121" i="9"/>
  <c r="M120" i="9"/>
  <c r="M119" i="9"/>
  <c r="M118" i="9"/>
  <c r="P118" i="9" s="1"/>
  <c r="M117" i="9"/>
  <c r="P117" i="9" s="1"/>
  <c r="M116" i="9"/>
  <c r="M115" i="9"/>
  <c r="M114" i="9"/>
  <c r="M113" i="9"/>
  <c r="M112" i="9"/>
  <c r="P112" i="9" s="1"/>
  <c r="M111" i="9"/>
  <c r="M110" i="9"/>
  <c r="M109" i="9"/>
  <c r="M108" i="9"/>
  <c r="M107" i="9"/>
  <c r="M106" i="9"/>
  <c r="P106" i="9" s="1"/>
  <c r="M105" i="9"/>
  <c r="M104" i="9"/>
  <c r="M103" i="9"/>
  <c r="M102" i="9"/>
  <c r="M101" i="9"/>
  <c r="M100" i="9"/>
  <c r="P100" i="9" s="1"/>
  <c r="M99" i="9"/>
  <c r="O99" i="9" s="1"/>
  <c r="M98" i="9"/>
  <c r="M97" i="9"/>
  <c r="M96" i="9"/>
  <c r="M95" i="9"/>
  <c r="M94" i="9"/>
  <c r="P94" i="9" s="1"/>
  <c r="M93" i="9"/>
  <c r="M92" i="9"/>
  <c r="M91" i="9"/>
  <c r="M90" i="9"/>
  <c r="M89" i="9"/>
  <c r="M88" i="9"/>
  <c r="P88" i="9" s="1"/>
  <c r="M87" i="9"/>
  <c r="M86" i="9"/>
  <c r="O86" i="9" s="1"/>
  <c r="M85" i="9"/>
  <c r="M84" i="9"/>
  <c r="M83" i="9"/>
  <c r="M82" i="9"/>
  <c r="P82" i="9" s="1"/>
  <c r="M81" i="9"/>
  <c r="M80" i="9"/>
  <c r="M79" i="9"/>
  <c r="M78" i="9"/>
  <c r="M77" i="9"/>
  <c r="M75" i="9"/>
  <c r="M74" i="9"/>
  <c r="M73" i="9"/>
  <c r="M72" i="9"/>
  <c r="M71" i="9"/>
  <c r="M70" i="9"/>
  <c r="M69" i="9"/>
  <c r="M68" i="9"/>
  <c r="M67" i="9"/>
  <c r="O67" i="9" s="1"/>
  <c r="M66" i="9"/>
  <c r="M65" i="9"/>
  <c r="M64" i="9"/>
  <c r="M63" i="9"/>
  <c r="M62" i="9"/>
  <c r="M61" i="9"/>
  <c r="O61" i="9" s="1"/>
  <c r="M60" i="9"/>
  <c r="M59" i="9"/>
  <c r="M58" i="9"/>
  <c r="M57" i="9"/>
  <c r="M56" i="9"/>
  <c r="M55" i="9"/>
  <c r="O55" i="9" s="1"/>
  <c r="M54" i="9"/>
  <c r="M53" i="9"/>
  <c r="M52" i="9"/>
  <c r="M51" i="9"/>
  <c r="M50" i="9"/>
  <c r="O50" i="9" s="1"/>
  <c r="M49" i="9"/>
  <c r="P49" i="9" s="1"/>
  <c r="M48" i="9"/>
  <c r="M47" i="9"/>
  <c r="M46" i="9"/>
  <c r="M45" i="9"/>
  <c r="M44" i="9"/>
  <c r="M43" i="9"/>
  <c r="P43" i="9" s="1"/>
  <c r="M42" i="9"/>
  <c r="M41" i="9"/>
  <c r="M40" i="9"/>
  <c r="M39" i="9"/>
  <c r="M38" i="9"/>
  <c r="M37" i="9"/>
  <c r="P37" i="9" s="1"/>
  <c r="M36" i="9"/>
  <c r="M35" i="9"/>
  <c r="M34" i="9"/>
  <c r="M33" i="9"/>
  <c r="M32" i="9"/>
  <c r="M31" i="9"/>
  <c r="P31" i="9" s="1"/>
  <c r="M30" i="9"/>
  <c r="M29" i="9"/>
  <c r="M28" i="9"/>
  <c r="M27" i="9"/>
  <c r="M26" i="9"/>
  <c r="M25" i="9"/>
  <c r="P25" i="9" s="1"/>
  <c r="M24" i="9"/>
  <c r="M23" i="9"/>
  <c r="M22" i="9"/>
  <c r="M21" i="9"/>
  <c r="M20" i="9"/>
  <c r="M19" i="9"/>
  <c r="O19" i="9" s="1"/>
  <c r="M18" i="9"/>
  <c r="M17" i="9"/>
  <c r="M16" i="9"/>
  <c r="M15" i="9"/>
  <c r="M14" i="9"/>
  <c r="M13" i="9"/>
  <c r="P13" i="9" s="1"/>
  <c r="M12" i="9"/>
  <c r="O12" i="9" s="1"/>
  <c r="M11" i="9"/>
  <c r="M10" i="9"/>
  <c r="M9" i="9"/>
  <c r="M8" i="9"/>
  <c r="O110" i="9"/>
  <c r="P144" i="9"/>
  <c r="P150" i="9"/>
  <c r="P149" i="9" s="1"/>
  <c r="O148" i="9"/>
  <c r="P145" i="9"/>
  <c r="O145" i="9"/>
  <c r="P143" i="9"/>
  <c r="P139" i="9"/>
  <c r="O139" i="9"/>
  <c r="P133" i="9"/>
  <c r="O133" i="9"/>
  <c r="O130" i="9"/>
  <c r="P127" i="9"/>
  <c r="O127" i="9"/>
  <c r="P121" i="9"/>
  <c r="O121" i="9"/>
  <c r="P116" i="9"/>
  <c r="P115" i="9"/>
  <c r="O115" i="9"/>
  <c r="O112" i="9"/>
  <c r="P109" i="9"/>
  <c r="O109" i="9"/>
  <c r="P107" i="9"/>
  <c r="P103" i="9"/>
  <c r="O103" i="9"/>
  <c r="P97" i="9"/>
  <c r="O97" i="9"/>
  <c r="P91" i="9"/>
  <c r="O91" i="9"/>
  <c r="P89" i="9"/>
  <c r="O87" i="9"/>
  <c r="P86" i="9"/>
  <c r="P85" i="9"/>
  <c r="O85" i="9"/>
  <c r="P79" i="9"/>
  <c r="O79" i="9"/>
  <c r="P73" i="9"/>
  <c r="O73" i="9"/>
  <c r="P67" i="9"/>
  <c r="P66" i="9"/>
  <c r="O66" i="9"/>
  <c r="P61" i="9"/>
  <c r="P60" i="9"/>
  <c r="O60" i="9"/>
  <c r="O57" i="9"/>
  <c r="P55" i="9"/>
  <c r="P54" i="9"/>
  <c r="O54" i="9"/>
  <c r="P48" i="9"/>
  <c r="O48" i="9"/>
  <c r="P46" i="9"/>
  <c r="P42" i="9"/>
  <c r="O42" i="9"/>
  <c r="P40" i="9"/>
  <c r="O39" i="9"/>
  <c r="O37" i="9"/>
  <c r="P36" i="9"/>
  <c r="O36" i="9"/>
  <c r="O31" i="9"/>
  <c r="P30" i="9"/>
  <c r="O30" i="9"/>
  <c r="P24" i="9"/>
  <c r="O24" i="9"/>
  <c r="P19" i="9"/>
  <c r="P18" i="9"/>
  <c r="O18" i="9"/>
  <c r="O16" i="9"/>
  <c r="O13" i="9"/>
  <c r="P12" i="9"/>
  <c r="G226" i="24"/>
  <c r="F226" i="24"/>
  <c r="G225" i="24"/>
  <c r="F225" i="24"/>
  <c r="G224" i="24"/>
  <c r="F224" i="24"/>
  <c r="G223" i="24"/>
  <c r="F223" i="24"/>
  <c r="G222" i="24"/>
  <c r="F222" i="24"/>
  <c r="G221" i="24"/>
  <c r="F221" i="24"/>
  <c r="G220" i="24"/>
  <c r="F220" i="24"/>
  <c r="G219" i="24"/>
  <c r="F219" i="24"/>
  <c r="G218" i="24"/>
  <c r="F218" i="24"/>
  <c r="G217" i="24"/>
  <c r="F217" i="24"/>
  <c r="G216" i="24"/>
  <c r="F216" i="24"/>
  <c r="G215" i="24"/>
  <c r="F215" i="24"/>
  <c r="G214" i="24"/>
  <c r="F214" i="24"/>
  <c r="G213" i="24"/>
  <c r="F213" i="24"/>
  <c r="G212" i="24"/>
  <c r="F212" i="24"/>
  <c r="G211" i="24"/>
  <c r="F211" i="24"/>
  <c r="G210" i="24"/>
  <c r="F210" i="24"/>
  <c r="G209" i="24"/>
  <c r="F209" i="24"/>
  <c r="G208" i="24"/>
  <c r="F208" i="24"/>
  <c r="G207" i="24"/>
  <c r="F207" i="24"/>
  <c r="G206" i="24"/>
  <c r="F206" i="24"/>
  <c r="G205" i="24"/>
  <c r="F205" i="24"/>
  <c r="G204" i="24"/>
  <c r="F204" i="24"/>
  <c r="G203" i="24"/>
  <c r="F203" i="24"/>
  <c r="G202" i="24"/>
  <c r="F202" i="24"/>
  <c r="G201" i="24"/>
  <c r="F201" i="24"/>
  <c r="G200" i="24"/>
  <c r="F200" i="24"/>
  <c r="G199" i="24"/>
  <c r="F199" i="24"/>
  <c r="G198" i="24"/>
  <c r="F198" i="24"/>
  <c r="G197" i="24"/>
  <c r="F197" i="24"/>
  <c r="G196" i="24"/>
  <c r="F196" i="24"/>
  <c r="G195" i="24"/>
  <c r="F195" i="24"/>
  <c r="G194" i="24"/>
  <c r="F194" i="24"/>
  <c r="G193" i="24"/>
  <c r="F193" i="24"/>
  <c r="G192" i="24"/>
  <c r="F192" i="24"/>
  <c r="G191" i="24"/>
  <c r="F191" i="24"/>
  <c r="G190" i="24"/>
  <c r="F190" i="24"/>
  <c r="G189" i="24"/>
  <c r="F189" i="24"/>
  <c r="G188" i="24"/>
  <c r="F188" i="24"/>
  <c r="G187" i="24"/>
  <c r="F187" i="24"/>
  <c r="G186" i="24"/>
  <c r="F186" i="24"/>
  <c r="G185" i="24"/>
  <c r="F185" i="24"/>
  <c r="G184" i="24"/>
  <c r="F184" i="24"/>
  <c r="G183" i="24"/>
  <c r="F183" i="24"/>
  <c r="G182" i="24"/>
  <c r="F182" i="24"/>
  <c r="G181" i="24"/>
  <c r="F181" i="24"/>
  <c r="G180" i="24"/>
  <c r="F180" i="24"/>
  <c r="G179" i="24"/>
  <c r="F179" i="24"/>
  <c r="G178" i="24"/>
  <c r="F178" i="24"/>
  <c r="G177" i="24"/>
  <c r="F177" i="24"/>
  <c r="G176" i="24"/>
  <c r="F176" i="24"/>
  <c r="G175" i="24"/>
  <c r="F175" i="24"/>
  <c r="G174" i="24"/>
  <c r="F174" i="24"/>
  <c r="G173" i="24"/>
  <c r="F173" i="24"/>
  <c r="G172" i="24"/>
  <c r="F172" i="24"/>
  <c r="G171" i="24"/>
  <c r="F171" i="24"/>
  <c r="G170" i="24"/>
  <c r="F170" i="24"/>
  <c r="G169" i="24"/>
  <c r="F169" i="24"/>
  <c r="G168" i="24"/>
  <c r="F168" i="24"/>
  <c r="G167" i="24"/>
  <c r="F167" i="24"/>
  <c r="G166" i="24"/>
  <c r="F166" i="24"/>
  <c r="G165" i="24"/>
  <c r="F165" i="24"/>
  <c r="G164" i="24"/>
  <c r="F164" i="24"/>
  <c r="G163" i="24"/>
  <c r="F163" i="24"/>
  <c r="G162" i="24"/>
  <c r="F162" i="24"/>
  <c r="G161" i="24"/>
  <c r="F161" i="24"/>
  <c r="G160" i="24"/>
  <c r="F160" i="24"/>
  <c r="G159" i="24"/>
  <c r="F159" i="24"/>
  <c r="G158" i="24"/>
  <c r="F158" i="24"/>
  <c r="G157" i="24"/>
  <c r="F157" i="24"/>
  <c r="G156" i="24"/>
  <c r="F156" i="24"/>
  <c r="G155" i="24"/>
  <c r="F155" i="24"/>
  <c r="G154" i="24"/>
  <c r="F154" i="24"/>
  <c r="G153" i="24"/>
  <c r="F153" i="24"/>
  <c r="G152" i="24"/>
  <c r="F152" i="24"/>
  <c r="G151" i="24"/>
  <c r="F151" i="24"/>
  <c r="G150" i="24"/>
  <c r="F150" i="24"/>
  <c r="G149" i="24"/>
  <c r="F149" i="24"/>
  <c r="G148" i="24"/>
  <c r="F148" i="24"/>
  <c r="G147" i="24"/>
  <c r="F147" i="24"/>
  <c r="G146" i="24"/>
  <c r="F146" i="24"/>
  <c r="G145" i="24"/>
  <c r="F145" i="24"/>
  <c r="G144" i="24"/>
  <c r="F144" i="24"/>
  <c r="G143" i="24"/>
  <c r="F143" i="24"/>
  <c r="G142" i="24"/>
  <c r="F142" i="24"/>
  <c r="G141" i="24"/>
  <c r="F141" i="24"/>
  <c r="G140" i="24"/>
  <c r="F140" i="24"/>
  <c r="G139" i="24"/>
  <c r="F139" i="24"/>
  <c r="G138" i="24"/>
  <c r="F138" i="24"/>
  <c r="G137" i="24"/>
  <c r="F137" i="24"/>
  <c r="G136" i="24"/>
  <c r="F136" i="24"/>
  <c r="G135" i="24"/>
  <c r="F135" i="24"/>
  <c r="G134" i="24"/>
  <c r="F134" i="24"/>
  <c r="G133" i="24"/>
  <c r="F133" i="24"/>
  <c r="G132" i="24"/>
  <c r="F132" i="24"/>
  <c r="G131" i="24"/>
  <c r="F131" i="24"/>
  <c r="G130" i="24"/>
  <c r="F130" i="24"/>
  <c r="G129" i="24"/>
  <c r="F129" i="24"/>
  <c r="G128" i="24"/>
  <c r="F128" i="24"/>
  <c r="G127" i="24"/>
  <c r="F127" i="24"/>
  <c r="G126" i="24"/>
  <c r="F126" i="24"/>
  <c r="G125" i="24"/>
  <c r="F125" i="24"/>
  <c r="G124" i="24"/>
  <c r="F124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G6" i="24"/>
  <c r="F6" i="24"/>
  <c r="G5" i="24"/>
  <c r="F5" i="24"/>
  <c r="G245" i="27"/>
  <c r="F245" i="27"/>
  <c r="G241" i="27"/>
  <c r="F241" i="27"/>
  <c r="G240" i="27"/>
  <c r="F240" i="27"/>
  <c r="G238" i="27"/>
  <c r="F238" i="27"/>
  <c r="G237" i="27"/>
  <c r="F237" i="27"/>
  <c r="G236" i="27"/>
  <c r="F236" i="27"/>
  <c r="G235" i="27"/>
  <c r="F235" i="27"/>
  <c r="G234" i="27"/>
  <c r="F234" i="27"/>
  <c r="G233" i="27"/>
  <c r="F233" i="27"/>
  <c r="G232" i="27"/>
  <c r="F232" i="27"/>
  <c r="G231" i="27"/>
  <c r="F231" i="27"/>
  <c r="G230" i="27"/>
  <c r="F230" i="27"/>
  <c r="G229" i="27"/>
  <c r="F229" i="27"/>
  <c r="G228" i="27"/>
  <c r="F228" i="27"/>
  <c r="G227" i="27"/>
  <c r="F227" i="27"/>
  <c r="G226" i="27"/>
  <c r="F226" i="27"/>
  <c r="G225" i="27"/>
  <c r="F225" i="27"/>
  <c r="G224" i="27"/>
  <c r="F224" i="27"/>
  <c r="G223" i="27"/>
  <c r="F223" i="27"/>
  <c r="G222" i="27"/>
  <c r="F222" i="27"/>
  <c r="G221" i="27"/>
  <c r="F221" i="27"/>
  <c r="G220" i="27"/>
  <c r="F220" i="27"/>
  <c r="G219" i="27"/>
  <c r="F219" i="27"/>
  <c r="G218" i="27"/>
  <c r="F218" i="27"/>
  <c r="G217" i="27"/>
  <c r="F217" i="27"/>
  <c r="G216" i="27"/>
  <c r="F216" i="27"/>
  <c r="G215" i="27"/>
  <c r="F215" i="27"/>
  <c r="G214" i="27"/>
  <c r="F214" i="27"/>
  <c r="G213" i="27"/>
  <c r="F213" i="27"/>
  <c r="G212" i="27"/>
  <c r="F212" i="27"/>
  <c r="G211" i="27"/>
  <c r="F211" i="27"/>
  <c r="G210" i="27"/>
  <c r="F210" i="27"/>
  <c r="G209" i="27"/>
  <c r="F209" i="27"/>
  <c r="G208" i="27"/>
  <c r="F208" i="27"/>
  <c r="G207" i="27"/>
  <c r="F207" i="27"/>
  <c r="G206" i="27"/>
  <c r="F206" i="27"/>
  <c r="G205" i="27"/>
  <c r="F205" i="27"/>
  <c r="G204" i="27"/>
  <c r="F204" i="27"/>
  <c r="G203" i="27"/>
  <c r="F203" i="27"/>
  <c r="G202" i="27"/>
  <c r="F202" i="27"/>
  <c r="G201" i="27"/>
  <c r="F201" i="27"/>
  <c r="G200" i="27"/>
  <c r="F200" i="27"/>
  <c r="G199" i="27"/>
  <c r="F199" i="27"/>
  <c r="G198" i="27"/>
  <c r="F198" i="27"/>
  <c r="G197" i="27"/>
  <c r="F197" i="27"/>
  <c r="G196" i="27"/>
  <c r="F196" i="27"/>
  <c r="G195" i="27"/>
  <c r="F195" i="27"/>
  <c r="G194" i="27"/>
  <c r="F194" i="27"/>
  <c r="G193" i="27"/>
  <c r="F193" i="27"/>
  <c r="G192" i="27"/>
  <c r="F192" i="27"/>
  <c r="G191" i="27"/>
  <c r="F191" i="27"/>
  <c r="G190" i="27"/>
  <c r="F190" i="27"/>
  <c r="G189" i="27"/>
  <c r="F189" i="27"/>
  <c r="G188" i="27"/>
  <c r="F188" i="27"/>
  <c r="G187" i="27"/>
  <c r="F187" i="27"/>
  <c r="G186" i="27"/>
  <c r="F186" i="27"/>
  <c r="G185" i="27"/>
  <c r="F185" i="27"/>
  <c r="G184" i="27"/>
  <c r="F184" i="27"/>
  <c r="G183" i="27"/>
  <c r="F183" i="27"/>
  <c r="G182" i="27"/>
  <c r="F182" i="27"/>
  <c r="G181" i="27"/>
  <c r="F181" i="27"/>
  <c r="G180" i="27"/>
  <c r="F180" i="27"/>
  <c r="G179" i="27"/>
  <c r="F179" i="27"/>
  <c r="G178" i="27"/>
  <c r="F178" i="27"/>
  <c r="G177" i="27"/>
  <c r="F177" i="27"/>
  <c r="G176" i="27"/>
  <c r="F176" i="27"/>
  <c r="G175" i="27"/>
  <c r="F175" i="27"/>
  <c r="G174" i="27"/>
  <c r="F174" i="27"/>
  <c r="G173" i="27"/>
  <c r="F173" i="27"/>
  <c r="G172" i="27"/>
  <c r="F172" i="27"/>
  <c r="G171" i="27"/>
  <c r="F171" i="27"/>
  <c r="G170" i="27"/>
  <c r="F170" i="27"/>
  <c r="G169" i="27"/>
  <c r="F169" i="27"/>
  <c r="G168" i="27"/>
  <c r="F168" i="27"/>
  <c r="G167" i="27"/>
  <c r="F167" i="27"/>
  <c r="G166" i="27"/>
  <c r="F166" i="27"/>
  <c r="G165" i="27"/>
  <c r="F165" i="27"/>
  <c r="G164" i="27"/>
  <c r="F164" i="27"/>
  <c r="G163" i="27"/>
  <c r="F163" i="27"/>
  <c r="G162" i="27"/>
  <c r="F162" i="27"/>
  <c r="G161" i="27"/>
  <c r="F161" i="27"/>
  <c r="G160" i="27"/>
  <c r="F160" i="27"/>
  <c r="G159" i="27"/>
  <c r="F159" i="27"/>
  <c r="G158" i="27"/>
  <c r="F158" i="27"/>
  <c r="G157" i="27"/>
  <c r="F157" i="27"/>
  <c r="G156" i="27"/>
  <c r="F156" i="27"/>
  <c r="G155" i="27"/>
  <c r="F155" i="27"/>
  <c r="G154" i="27"/>
  <c r="F154" i="27"/>
  <c r="G153" i="27"/>
  <c r="F153" i="27"/>
  <c r="G152" i="27"/>
  <c r="F152" i="27"/>
  <c r="G151" i="27"/>
  <c r="F151" i="27"/>
  <c r="G150" i="27"/>
  <c r="F150" i="27"/>
  <c r="G149" i="27"/>
  <c r="F149" i="27"/>
  <c r="G148" i="27"/>
  <c r="F148" i="27"/>
  <c r="G147" i="27"/>
  <c r="F147" i="27"/>
  <c r="G146" i="27"/>
  <c r="F146" i="27"/>
  <c r="G145" i="27"/>
  <c r="F145" i="27"/>
  <c r="G144" i="27"/>
  <c r="F144" i="27"/>
  <c r="G143" i="27"/>
  <c r="F143" i="27"/>
  <c r="G142" i="27"/>
  <c r="F142" i="27"/>
  <c r="G141" i="27"/>
  <c r="F141" i="27"/>
  <c r="G140" i="27"/>
  <c r="F140" i="27"/>
  <c r="G139" i="27"/>
  <c r="F139" i="27"/>
  <c r="G138" i="27"/>
  <c r="F138" i="27"/>
  <c r="G137" i="27"/>
  <c r="F137" i="27"/>
  <c r="G136" i="27"/>
  <c r="F136" i="27"/>
  <c r="G135" i="27"/>
  <c r="F135" i="27"/>
  <c r="G134" i="27"/>
  <c r="F134" i="27"/>
  <c r="G133" i="27"/>
  <c r="F133" i="27"/>
  <c r="G132" i="27"/>
  <c r="F132" i="27"/>
  <c r="G131" i="27"/>
  <c r="F131" i="27"/>
  <c r="G130" i="27"/>
  <c r="F130" i="27"/>
  <c r="G129" i="27"/>
  <c r="F129" i="27"/>
  <c r="G128" i="27"/>
  <c r="F128" i="27"/>
  <c r="G127" i="27"/>
  <c r="F127" i="27"/>
  <c r="G125" i="27"/>
  <c r="F125" i="27"/>
  <c r="G124" i="27"/>
  <c r="F124" i="27"/>
  <c r="G123" i="27"/>
  <c r="F123" i="27"/>
  <c r="G122" i="27"/>
  <c r="F122" i="27"/>
  <c r="G121" i="27"/>
  <c r="F121" i="27"/>
  <c r="G120" i="27"/>
  <c r="F120" i="27"/>
  <c r="G119" i="27"/>
  <c r="F119" i="27"/>
  <c r="G118" i="27"/>
  <c r="F118" i="27"/>
  <c r="G117" i="27"/>
  <c r="F117" i="27"/>
  <c r="G116" i="27"/>
  <c r="F116" i="27"/>
  <c r="G115" i="27"/>
  <c r="F115" i="27"/>
  <c r="G114" i="27"/>
  <c r="F114" i="27"/>
  <c r="G113" i="27"/>
  <c r="F113" i="27"/>
  <c r="G112" i="27"/>
  <c r="F112" i="27"/>
  <c r="G111" i="27"/>
  <c r="F111" i="27"/>
  <c r="G110" i="27"/>
  <c r="F110" i="27"/>
  <c r="G109" i="27"/>
  <c r="F109" i="27"/>
  <c r="G108" i="27"/>
  <c r="F108" i="27"/>
  <c r="G107" i="27"/>
  <c r="F107" i="27"/>
  <c r="G106" i="27"/>
  <c r="F106" i="27"/>
  <c r="G105" i="27"/>
  <c r="F105" i="27"/>
  <c r="G104" i="27"/>
  <c r="F104" i="27"/>
  <c r="G103" i="27"/>
  <c r="F103" i="27"/>
  <c r="G102" i="27"/>
  <c r="F102" i="27"/>
  <c r="G101" i="27"/>
  <c r="F101" i="27"/>
  <c r="G100" i="27"/>
  <c r="F100" i="27"/>
  <c r="G99" i="27"/>
  <c r="F99" i="27"/>
  <c r="G98" i="27"/>
  <c r="F98" i="27"/>
  <c r="G97" i="27"/>
  <c r="F97" i="27"/>
  <c r="G96" i="27"/>
  <c r="F96" i="27"/>
  <c r="G95" i="27"/>
  <c r="F95" i="27"/>
  <c r="G94" i="27"/>
  <c r="F94" i="27"/>
  <c r="G93" i="27"/>
  <c r="F93" i="27"/>
  <c r="G92" i="27"/>
  <c r="F92" i="27"/>
  <c r="G91" i="27"/>
  <c r="F91" i="27"/>
  <c r="G90" i="27"/>
  <c r="F90" i="27"/>
  <c r="G89" i="27"/>
  <c r="F89" i="27"/>
  <c r="G88" i="27"/>
  <c r="F88" i="27"/>
  <c r="G87" i="27"/>
  <c r="F87" i="27"/>
  <c r="G86" i="27"/>
  <c r="F86" i="27"/>
  <c r="G85" i="27"/>
  <c r="F85" i="27"/>
  <c r="G84" i="27"/>
  <c r="F84" i="27"/>
  <c r="G83" i="27"/>
  <c r="F83" i="27"/>
  <c r="G82" i="27"/>
  <c r="F82" i="27"/>
  <c r="G81" i="27"/>
  <c r="F81" i="27"/>
  <c r="G80" i="27"/>
  <c r="F80" i="27"/>
  <c r="G79" i="27"/>
  <c r="F79" i="27"/>
  <c r="G78" i="27"/>
  <c r="F78" i="27"/>
  <c r="G77" i="27"/>
  <c r="F77" i="27"/>
  <c r="G76" i="27"/>
  <c r="F76" i="27"/>
  <c r="G75" i="27"/>
  <c r="F75" i="27"/>
  <c r="G74" i="27"/>
  <c r="F74" i="27"/>
  <c r="G73" i="27"/>
  <c r="F73" i="27"/>
  <c r="G72" i="27"/>
  <c r="F72" i="27"/>
  <c r="G71" i="27"/>
  <c r="F71" i="27"/>
  <c r="G70" i="27"/>
  <c r="F70" i="27"/>
  <c r="G69" i="27"/>
  <c r="F69" i="27"/>
  <c r="G68" i="27"/>
  <c r="F68" i="27"/>
  <c r="G67" i="27"/>
  <c r="F67" i="27"/>
  <c r="G66" i="27"/>
  <c r="F66" i="27"/>
  <c r="G65" i="27"/>
  <c r="F65" i="27"/>
  <c r="G64" i="27"/>
  <c r="F64" i="27"/>
  <c r="G63" i="27"/>
  <c r="F63" i="27"/>
  <c r="G62" i="27"/>
  <c r="F62" i="27"/>
  <c r="G61" i="27"/>
  <c r="F61" i="27"/>
  <c r="G60" i="27"/>
  <c r="F60" i="27"/>
  <c r="G59" i="27"/>
  <c r="F59" i="27"/>
  <c r="G58" i="27"/>
  <c r="F58" i="27"/>
  <c r="G57" i="27"/>
  <c r="F57" i="27"/>
  <c r="G56" i="27"/>
  <c r="F56" i="27"/>
  <c r="G55" i="27"/>
  <c r="F55" i="27"/>
  <c r="G54" i="27"/>
  <c r="F54" i="27"/>
  <c r="G53" i="27"/>
  <c r="F53" i="27"/>
  <c r="G52" i="27"/>
  <c r="F52" i="27"/>
  <c r="G51" i="27"/>
  <c r="F51" i="27"/>
  <c r="G50" i="27"/>
  <c r="F50" i="27"/>
  <c r="G49" i="27"/>
  <c r="F49" i="27"/>
  <c r="G48" i="27"/>
  <c r="F48" i="27"/>
  <c r="G47" i="27"/>
  <c r="F47" i="27"/>
  <c r="G46" i="27"/>
  <c r="F46" i="27"/>
  <c r="G45" i="27"/>
  <c r="F45" i="27"/>
  <c r="G44" i="27"/>
  <c r="F44" i="27"/>
  <c r="G43" i="27"/>
  <c r="F43" i="27"/>
  <c r="G42" i="27"/>
  <c r="F42" i="27"/>
  <c r="G41" i="27"/>
  <c r="F41" i="27"/>
  <c r="G40" i="27"/>
  <c r="F40" i="27"/>
  <c r="G39" i="27"/>
  <c r="F39" i="27"/>
  <c r="G38" i="27"/>
  <c r="F38" i="27"/>
  <c r="G37" i="27"/>
  <c r="F37" i="27"/>
  <c r="G36" i="27"/>
  <c r="F36" i="27"/>
  <c r="G33" i="27"/>
  <c r="F33" i="27"/>
  <c r="G32" i="27"/>
  <c r="F32" i="27"/>
  <c r="G29" i="27"/>
  <c r="F29" i="27"/>
  <c r="G28" i="27"/>
  <c r="F28" i="27"/>
  <c r="G27" i="27"/>
  <c r="F27" i="27"/>
  <c r="G25" i="27"/>
  <c r="F25" i="27"/>
  <c r="G24" i="27"/>
  <c r="F24" i="27"/>
  <c r="G23" i="27"/>
  <c r="F23" i="27"/>
  <c r="G22" i="27"/>
  <c r="F22" i="27"/>
  <c r="G21" i="27"/>
  <c r="F21" i="27"/>
  <c r="G20" i="27"/>
  <c r="F20" i="27"/>
  <c r="G19" i="27"/>
  <c r="F19" i="27"/>
  <c r="G16" i="27"/>
  <c r="F16" i="27"/>
  <c r="G15" i="27"/>
  <c r="F15" i="27"/>
  <c r="G14" i="27"/>
  <c r="F14" i="27"/>
  <c r="D100" i="14"/>
  <c r="D97" i="14"/>
  <c r="D96" i="14"/>
  <c r="F78" i="14"/>
  <c r="O25" i="9" l="1"/>
  <c r="O43" i="9"/>
  <c r="O49" i="9"/>
  <c r="P10" i="9"/>
  <c r="P16" i="9"/>
  <c r="P22" i="9"/>
  <c r="O28" i="9"/>
  <c r="O34" i="9"/>
  <c r="O40" i="9"/>
  <c r="O46" i="9"/>
  <c r="O52" i="9"/>
  <c r="O58" i="9"/>
  <c r="O64" i="9"/>
  <c r="P70" i="9"/>
  <c r="O92" i="9"/>
  <c r="O104" i="9"/>
  <c r="P110" i="9"/>
  <c r="P122" i="9"/>
  <c r="P128" i="9"/>
  <c r="O134" i="9"/>
  <c r="O140" i="9"/>
  <c r="O146" i="9"/>
  <c r="P84" i="9"/>
  <c r="P8" i="9"/>
  <c r="P14" i="9"/>
  <c r="P20" i="9"/>
  <c r="P26" i="9"/>
  <c r="O32" i="9"/>
  <c r="P38" i="9"/>
  <c r="P44" i="9"/>
  <c r="P50" i="9"/>
  <c r="P56" i="9"/>
  <c r="O62" i="9"/>
  <c r="O68" i="9"/>
  <c r="P74" i="9"/>
  <c r="P62" i="9"/>
  <c r="O98" i="9"/>
  <c r="O14" i="9"/>
  <c r="P34" i="9"/>
  <c r="O38" i="9"/>
  <c r="P64" i="9"/>
  <c r="P68" i="9"/>
  <c r="O94" i="9"/>
  <c r="P146" i="9"/>
  <c r="O128" i="9"/>
  <c r="P9" i="9"/>
  <c r="P15" i="9"/>
  <c r="P21" i="9"/>
  <c r="P27" i="9"/>
  <c r="P33" i="9"/>
  <c r="P39" i="9"/>
  <c r="P45" i="9"/>
  <c r="P51" i="9"/>
  <c r="P57" i="9"/>
  <c r="P63" i="9"/>
  <c r="P69" i="9"/>
  <c r="P75" i="9"/>
  <c r="P81" i="9"/>
  <c r="P87" i="9"/>
  <c r="P93" i="9"/>
  <c r="P99" i="9"/>
  <c r="O105" i="9"/>
  <c r="O111" i="9"/>
  <c r="O117" i="9"/>
  <c r="P123" i="9"/>
  <c r="P129" i="9"/>
  <c r="P135" i="9"/>
  <c r="P141" i="9"/>
  <c r="P147" i="9"/>
  <c r="O80" i="9"/>
  <c r="O8" i="9"/>
  <c r="O20" i="9"/>
  <c r="O56" i="9"/>
  <c r="P104" i="9"/>
  <c r="O116" i="9"/>
  <c r="O26" i="9"/>
  <c r="P80" i="9"/>
  <c r="P140" i="9"/>
  <c r="O122" i="9"/>
  <c r="O74" i="9"/>
  <c r="O44" i="9"/>
  <c r="P98" i="9"/>
  <c r="P28" i="9"/>
  <c r="P72" i="9"/>
  <c r="P90" i="9"/>
  <c r="P58" i="9"/>
  <c r="P92" i="9"/>
  <c r="O21" i="9"/>
  <c r="O69" i="9"/>
  <c r="O75" i="9"/>
  <c r="O81" i="9"/>
  <c r="P11" i="9"/>
  <c r="P17" i="9"/>
  <c r="P23" i="9"/>
  <c r="P29" i="9"/>
  <c r="P35" i="9"/>
  <c r="P41" i="9"/>
  <c r="P47" i="9"/>
  <c r="P53" i="9"/>
  <c r="P59" i="9"/>
  <c r="P65" i="9"/>
  <c r="P77" i="9"/>
  <c r="P83" i="9"/>
  <c r="P95" i="9"/>
  <c r="P101" i="9"/>
  <c r="P113" i="9"/>
  <c r="P119" i="9"/>
  <c r="P131" i="9"/>
  <c r="P137" i="9"/>
  <c r="O33" i="9"/>
  <c r="O51" i="9"/>
  <c r="O9" i="9"/>
  <c r="O141" i="9"/>
  <c r="O147" i="9"/>
  <c r="O15" i="9"/>
  <c r="O27" i="9"/>
  <c r="O45" i="9"/>
  <c r="O63" i="9"/>
  <c r="O123" i="9"/>
  <c r="O129" i="9"/>
  <c r="O135" i="9"/>
  <c r="O10" i="9"/>
  <c r="O17" i="9"/>
  <c r="O23" i="9"/>
  <c r="O82" i="9"/>
  <c r="O100" i="9"/>
  <c r="O118" i="9"/>
  <c r="O136" i="9"/>
  <c r="O11" i="9"/>
  <c r="O70" i="9"/>
  <c r="O88" i="9"/>
  <c r="O106" i="9"/>
  <c r="O124" i="9"/>
  <c r="O142" i="9"/>
  <c r="O143" i="9"/>
  <c r="O137" i="9"/>
  <c r="O131" i="9"/>
  <c r="O125" i="9"/>
  <c r="O119" i="9"/>
  <c r="O113" i="9"/>
  <c r="O107" i="9"/>
  <c r="O101" i="9"/>
  <c r="O95" i="9"/>
  <c r="O89" i="9"/>
  <c r="O83" i="9"/>
  <c r="O77" i="9"/>
  <c r="O71" i="9"/>
  <c r="O72" i="9"/>
  <c r="O78" i="9"/>
  <c r="O84" i="9"/>
  <c r="O90" i="9"/>
  <c r="O96" i="9"/>
  <c r="O102" i="9"/>
  <c r="O108" i="9"/>
  <c r="O114" i="9"/>
  <c r="O120" i="9"/>
  <c r="O126" i="9"/>
  <c r="O132" i="9"/>
  <c r="O138" i="9"/>
  <c r="O144" i="9"/>
  <c r="O150" i="9"/>
  <c r="O149" i="9" s="1"/>
  <c r="E13" i="27"/>
  <c r="D18" i="27"/>
  <c r="C18" i="27"/>
  <c r="E18" i="27"/>
  <c r="G11" i="27"/>
  <c r="F11" i="27"/>
  <c r="G10" i="27"/>
  <c r="F10" i="27"/>
  <c r="G9" i="27"/>
  <c r="F9" i="27"/>
  <c r="G52" i="14"/>
  <c r="H127" i="22"/>
  <c r="G127" i="22"/>
  <c r="H126" i="22"/>
  <c r="G126" i="22"/>
  <c r="H125" i="22"/>
  <c r="G125" i="22"/>
  <c r="H124" i="22"/>
  <c r="G124" i="22"/>
  <c r="H123" i="22"/>
  <c r="G123" i="22"/>
  <c r="H122" i="22"/>
  <c r="G122" i="22"/>
  <c r="H121" i="22"/>
  <c r="G121" i="22"/>
  <c r="H120" i="22"/>
  <c r="G120" i="22"/>
  <c r="H119" i="22"/>
  <c r="G119" i="22"/>
  <c r="H118" i="22"/>
  <c r="G118" i="22"/>
  <c r="H117" i="22"/>
  <c r="G117" i="22"/>
  <c r="H116" i="22"/>
  <c r="G116" i="22"/>
  <c r="H115" i="22"/>
  <c r="G115" i="22"/>
  <c r="H114" i="22"/>
  <c r="G114" i="22"/>
  <c r="H113" i="22"/>
  <c r="G113" i="22"/>
  <c r="H112" i="22"/>
  <c r="G112" i="22"/>
  <c r="H111" i="22"/>
  <c r="G111" i="22"/>
  <c r="H110" i="22"/>
  <c r="G110" i="22"/>
  <c r="H109" i="22"/>
  <c r="G109" i="22"/>
  <c r="H108" i="22"/>
  <c r="G108" i="22"/>
  <c r="H107" i="22"/>
  <c r="G107" i="22"/>
  <c r="H106" i="22"/>
  <c r="G106" i="22"/>
  <c r="H105" i="22"/>
  <c r="G105" i="22"/>
  <c r="H104" i="22"/>
  <c r="G104" i="22"/>
  <c r="H103" i="22"/>
  <c r="G103" i="22"/>
  <c r="H102" i="22"/>
  <c r="G102" i="22"/>
  <c r="H101" i="22"/>
  <c r="G101" i="22"/>
  <c r="H100" i="22"/>
  <c r="G100" i="22"/>
  <c r="H99" i="22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3" i="22"/>
  <c r="G83" i="22"/>
  <c r="H82" i="22"/>
  <c r="G82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31" i="22"/>
  <c r="G31" i="22"/>
  <c r="H30" i="22"/>
  <c r="G30" i="22"/>
  <c r="H27" i="22"/>
  <c r="G27" i="22"/>
  <c r="H26" i="22"/>
  <c r="G26" i="22"/>
  <c r="H25" i="22"/>
  <c r="G25" i="22"/>
  <c r="H24" i="22"/>
  <c r="G24" i="22"/>
  <c r="H23" i="22"/>
  <c r="G23" i="22"/>
  <c r="H22" i="22"/>
  <c r="G22" i="22"/>
  <c r="H21" i="22"/>
  <c r="G21" i="22"/>
  <c r="H20" i="22"/>
  <c r="G20" i="22"/>
  <c r="H19" i="22"/>
  <c r="G19" i="22"/>
  <c r="H18" i="22"/>
  <c r="G18" i="22"/>
  <c r="H17" i="22"/>
  <c r="G17" i="22"/>
  <c r="H16" i="22"/>
  <c r="G16" i="22"/>
  <c r="H15" i="22"/>
  <c r="G15" i="22"/>
  <c r="H14" i="22"/>
  <c r="G14" i="22"/>
  <c r="H13" i="22"/>
  <c r="G13" i="22"/>
  <c r="F86" i="22"/>
  <c r="M11" i="26"/>
  <c r="M14" i="26"/>
  <c r="M13" i="26"/>
  <c r="F17" i="26"/>
  <c r="F16" i="26"/>
  <c r="H353" i="26"/>
  <c r="G353" i="26"/>
  <c r="H352" i="26"/>
  <c r="G352" i="26"/>
  <c r="H351" i="26"/>
  <c r="G351" i="26"/>
  <c r="H350" i="26"/>
  <c r="G350" i="26"/>
  <c r="H349" i="26"/>
  <c r="G349" i="26"/>
  <c r="F349" i="26"/>
  <c r="F351" i="26"/>
  <c r="D351" i="26"/>
  <c r="M35" i="26"/>
  <c r="L35" i="26"/>
  <c r="L34" i="26"/>
  <c r="L33" i="26"/>
  <c r="M32" i="26"/>
  <c r="L32" i="26"/>
  <c r="K35" i="26"/>
  <c r="K34" i="26"/>
  <c r="K33" i="26"/>
  <c r="K32" i="26"/>
  <c r="F56" i="26"/>
  <c r="F11" i="26"/>
  <c r="F263" i="26"/>
  <c r="F20" i="22"/>
  <c r="F21" i="22"/>
  <c r="F15" i="22"/>
  <c r="F216" i="26" l="1"/>
  <c r="F193" i="26"/>
  <c r="K12" i="26"/>
  <c r="D344" i="26"/>
  <c r="D346" i="26"/>
  <c r="D347" i="26"/>
  <c r="M28" i="26"/>
  <c r="L28" i="26"/>
  <c r="M27" i="26"/>
  <c r="L27" i="26"/>
  <c r="K28" i="26"/>
  <c r="K27" i="26"/>
  <c r="L22" i="26"/>
  <c r="M21" i="26"/>
  <c r="L21" i="26"/>
  <c r="L20" i="26"/>
  <c r="K21" i="26"/>
  <c r="K20" i="26"/>
  <c r="L14" i="26" l="1"/>
  <c r="L13" i="26"/>
  <c r="K14" i="26"/>
  <c r="K13" i="26"/>
  <c r="H29" i="26" l="1"/>
  <c r="H361" i="26" l="1"/>
  <c r="G361" i="26"/>
  <c r="H342" i="26"/>
  <c r="G342" i="26"/>
  <c r="H341" i="26"/>
  <c r="G341" i="26"/>
  <c r="H339" i="26"/>
  <c r="G339" i="26"/>
  <c r="H338" i="26"/>
  <c r="G338" i="26"/>
  <c r="H333" i="26"/>
  <c r="G333" i="26"/>
  <c r="H330" i="26"/>
  <c r="G330" i="26"/>
  <c r="H328" i="26"/>
  <c r="G328" i="26"/>
  <c r="H327" i="26"/>
  <c r="G327" i="26"/>
  <c r="H326" i="26"/>
  <c r="G326" i="26"/>
  <c r="H324" i="26"/>
  <c r="G324" i="26"/>
  <c r="H318" i="26"/>
  <c r="G318" i="26"/>
  <c r="H317" i="26"/>
  <c r="G317" i="26"/>
  <c r="H316" i="26"/>
  <c r="G316" i="26"/>
  <c r="H315" i="26"/>
  <c r="G315" i="26"/>
  <c r="H314" i="26"/>
  <c r="G314" i="26"/>
  <c r="H313" i="26"/>
  <c r="G313" i="26"/>
  <c r="H312" i="26"/>
  <c r="G312" i="26"/>
  <c r="H311" i="26"/>
  <c r="G311" i="26"/>
  <c r="H310" i="26"/>
  <c r="G310" i="26"/>
  <c r="H309" i="26"/>
  <c r="G309" i="26"/>
  <c r="H308" i="26"/>
  <c r="G308" i="26"/>
  <c r="H307" i="26"/>
  <c r="G307" i="26"/>
  <c r="H304" i="26"/>
  <c r="G304" i="26"/>
  <c r="H302" i="26"/>
  <c r="G302" i="26"/>
  <c r="H301" i="26"/>
  <c r="G301" i="26"/>
  <c r="H300" i="26"/>
  <c r="G300" i="26"/>
  <c r="H296" i="26"/>
  <c r="G296" i="26"/>
  <c r="H294" i="26"/>
  <c r="G294" i="26"/>
  <c r="H293" i="26"/>
  <c r="G293" i="26"/>
  <c r="H286" i="26"/>
  <c r="G286" i="26"/>
  <c r="H285" i="26"/>
  <c r="G285" i="26"/>
  <c r="H284" i="26"/>
  <c r="G284" i="26"/>
  <c r="H283" i="26"/>
  <c r="G283" i="26"/>
  <c r="H282" i="26"/>
  <c r="G282" i="26"/>
  <c r="H277" i="26"/>
  <c r="G277" i="26"/>
  <c r="H276" i="26"/>
  <c r="G276" i="26"/>
  <c r="H275" i="26"/>
  <c r="G275" i="26"/>
  <c r="H274" i="26"/>
  <c r="G274" i="26"/>
  <c r="H273" i="26"/>
  <c r="G273" i="26"/>
  <c r="H272" i="26"/>
  <c r="G272" i="26"/>
  <c r="H271" i="26"/>
  <c r="G271" i="26"/>
  <c r="H269" i="26"/>
  <c r="G269" i="26"/>
  <c r="H267" i="26"/>
  <c r="G267" i="26"/>
  <c r="H266" i="26"/>
  <c r="G266" i="26"/>
  <c r="H265" i="26"/>
  <c r="G265" i="26"/>
  <c r="H264" i="26"/>
  <c r="G264" i="26"/>
  <c r="H257" i="26"/>
  <c r="G257" i="26"/>
  <c r="H252" i="26"/>
  <c r="G252" i="26"/>
  <c r="H249" i="26"/>
  <c r="G249" i="26"/>
  <c r="H244" i="26"/>
  <c r="G244" i="26"/>
  <c r="H243" i="26"/>
  <c r="G243" i="26"/>
  <c r="H242" i="26"/>
  <c r="G242" i="26"/>
  <c r="H230" i="26"/>
  <c r="G230" i="26"/>
  <c r="H229" i="26"/>
  <c r="G229" i="26"/>
  <c r="H228" i="26"/>
  <c r="G228" i="26"/>
  <c r="H226" i="26"/>
  <c r="G226" i="26"/>
  <c r="H225" i="26"/>
  <c r="G225" i="26"/>
  <c r="H220" i="26"/>
  <c r="G220" i="26"/>
  <c r="H219" i="26"/>
  <c r="G219" i="26"/>
  <c r="H218" i="26"/>
  <c r="G218" i="26"/>
  <c r="H213" i="26"/>
  <c r="G213" i="26"/>
  <c r="H212" i="26"/>
  <c r="G212" i="26"/>
  <c r="H211" i="26"/>
  <c r="G211" i="26"/>
  <c r="H210" i="26"/>
  <c r="G210" i="26"/>
  <c r="H207" i="26"/>
  <c r="G207" i="26"/>
  <c r="H206" i="26"/>
  <c r="G206" i="26"/>
  <c r="H205" i="26"/>
  <c r="G205" i="26"/>
  <c r="H204" i="26"/>
  <c r="G204" i="26"/>
  <c r="H203" i="26"/>
  <c r="G203" i="26"/>
  <c r="H201" i="26"/>
  <c r="G201" i="26"/>
  <c r="H200" i="26"/>
  <c r="G200" i="26"/>
  <c r="H199" i="26"/>
  <c r="G199" i="26"/>
  <c r="H198" i="26"/>
  <c r="G198" i="26"/>
  <c r="H197" i="26"/>
  <c r="G197" i="26"/>
  <c r="H196" i="26"/>
  <c r="G196" i="26"/>
  <c r="H195" i="26"/>
  <c r="G195" i="26"/>
  <c r="H194" i="26"/>
  <c r="G194" i="26"/>
  <c r="H193" i="26"/>
  <c r="G193" i="26"/>
  <c r="H192" i="26"/>
  <c r="G192" i="26"/>
  <c r="H191" i="26"/>
  <c r="G191" i="26"/>
  <c r="H186" i="26"/>
  <c r="G186" i="26"/>
  <c r="H185" i="26"/>
  <c r="G185" i="26"/>
  <c r="H181" i="26"/>
  <c r="G181" i="26"/>
  <c r="H180" i="26"/>
  <c r="G180" i="26"/>
  <c r="H179" i="26"/>
  <c r="G179" i="26"/>
  <c r="H176" i="26"/>
  <c r="G176" i="26"/>
  <c r="H175" i="26"/>
  <c r="G175" i="26"/>
  <c r="H174" i="26"/>
  <c r="G174" i="26"/>
  <c r="H173" i="26"/>
  <c r="G173" i="26"/>
  <c r="H172" i="26"/>
  <c r="G172" i="26"/>
  <c r="H171" i="26"/>
  <c r="G171" i="26"/>
  <c r="H170" i="26"/>
  <c r="G170" i="26"/>
  <c r="H169" i="26"/>
  <c r="G169" i="26"/>
  <c r="H168" i="26"/>
  <c r="G168" i="26"/>
  <c r="H165" i="26"/>
  <c r="G165" i="26"/>
  <c r="H164" i="26"/>
  <c r="G164" i="26"/>
  <c r="H163" i="26"/>
  <c r="G163" i="26"/>
  <c r="H161" i="26"/>
  <c r="G161" i="26"/>
  <c r="H160" i="26"/>
  <c r="G160" i="26"/>
  <c r="H158" i="26"/>
  <c r="G158" i="26"/>
  <c r="H151" i="26"/>
  <c r="G151" i="26"/>
  <c r="H150" i="26"/>
  <c r="G150" i="26"/>
  <c r="H149" i="26"/>
  <c r="G149" i="26"/>
  <c r="H148" i="26"/>
  <c r="G148" i="26"/>
  <c r="H147" i="26"/>
  <c r="G147" i="26"/>
  <c r="H146" i="26"/>
  <c r="G146" i="26"/>
  <c r="H145" i="26"/>
  <c r="G145" i="26"/>
  <c r="H144" i="26"/>
  <c r="G144" i="26"/>
  <c r="H143" i="26"/>
  <c r="G143" i="26"/>
  <c r="H142" i="26"/>
  <c r="G142" i="26"/>
  <c r="H141" i="26"/>
  <c r="G141" i="26"/>
  <c r="H140" i="26"/>
  <c r="G140" i="26"/>
  <c r="H138" i="26"/>
  <c r="G138" i="26"/>
  <c r="H137" i="26"/>
  <c r="G137" i="26"/>
  <c r="H136" i="26"/>
  <c r="G136" i="26"/>
  <c r="H135" i="26"/>
  <c r="G135" i="26"/>
  <c r="H134" i="26"/>
  <c r="G134" i="26"/>
  <c r="H133" i="26"/>
  <c r="G133" i="26"/>
  <c r="H132" i="26"/>
  <c r="G132" i="26"/>
  <c r="H127" i="26"/>
  <c r="G127" i="26"/>
  <c r="H126" i="26"/>
  <c r="G126" i="26"/>
  <c r="H125" i="26"/>
  <c r="G125" i="26"/>
  <c r="H122" i="26"/>
  <c r="G122" i="26"/>
  <c r="H121" i="26"/>
  <c r="G121" i="26"/>
  <c r="H120" i="26"/>
  <c r="G120" i="26"/>
  <c r="H119" i="26"/>
  <c r="G119" i="26"/>
  <c r="H118" i="26"/>
  <c r="G118" i="26"/>
  <c r="H117" i="26"/>
  <c r="G117" i="26"/>
  <c r="H116" i="26"/>
  <c r="G116" i="26"/>
  <c r="H115" i="26"/>
  <c r="G115" i="26"/>
  <c r="H114" i="26"/>
  <c r="G114" i="26"/>
  <c r="H113" i="26"/>
  <c r="G113" i="26"/>
  <c r="H112" i="26"/>
  <c r="G112" i="26"/>
  <c r="H110" i="26"/>
  <c r="G110" i="26"/>
  <c r="H108" i="26"/>
  <c r="G108" i="26"/>
  <c r="H107" i="26"/>
  <c r="G107" i="26"/>
  <c r="H106" i="26"/>
  <c r="G106" i="26"/>
  <c r="H103" i="26"/>
  <c r="G103" i="26"/>
  <c r="H102" i="26"/>
  <c r="G102" i="26"/>
  <c r="H101" i="26"/>
  <c r="G101" i="26"/>
  <c r="H100" i="26"/>
  <c r="G100" i="26"/>
  <c r="H98" i="26"/>
  <c r="G98" i="26"/>
  <c r="H97" i="26"/>
  <c r="G97" i="26"/>
  <c r="H96" i="26"/>
  <c r="G96" i="26"/>
  <c r="H95" i="26"/>
  <c r="G95" i="26"/>
  <c r="H94" i="26"/>
  <c r="G94" i="26"/>
  <c r="H93" i="26"/>
  <c r="G93" i="26"/>
  <c r="H92" i="26"/>
  <c r="G92" i="26"/>
  <c r="H89" i="26"/>
  <c r="G89" i="26"/>
  <c r="H87" i="26"/>
  <c r="G87" i="26"/>
  <c r="H86" i="26"/>
  <c r="G86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6" i="26"/>
  <c r="G76" i="26"/>
  <c r="H75" i="26"/>
  <c r="G75" i="26"/>
  <c r="H74" i="26"/>
  <c r="G74" i="26"/>
  <c r="H72" i="26"/>
  <c r="G72" i="26"/>
  <c r="H69" i="26"/>
  <c r="G69" i="26"/>
  <c r="H68" i="26"/>
  <c r="G68" i="26"/>
  <c r="H63" i="26"/>
  <c r="G63" i="26"/>
  <c r="H57" i="26"/>
  <c r="G57" i="26"/>
  <c r="H51" i="26"/>
  <c r="G51" i="26"/>
  <c r="H50" i="26"/>
  <c r="G50" i="26"/>
  <c r="H46" i="26"/>
  <c r="G46" i="26"/>
  <c r="H44" i="26"/>
  <c r="G44" i="26"/>
  <c r="H43" i="26"/>
  <c r="G43" i="26"/>
  <c r="H41" i="26"/>
  <c r="G41" i="26"/>
  <c r="H39" i="26"/>
  <c r="G39" i="26"/>
  <c r="H37" i="26"/>
  <c r="G37" i="26"/>
  <c r="H35" i="26"/>
  <c r="G35" i="26"/>
  <c r="H32" i="26"/>
  <c r="G32" i="26"/>
  <c r="H31" i="26"/>
  <c r="G31" i="26"/>
  <c r="H30" i="26"/>
  <c r="G30" i="26"/>
  <c r="G29" i="26"/>
  <c r="H26" i="26"/>
  <c r="G26" i="26"/>
  <c r="H18" i="26"/>
  <c r="G18" i="26"/>
  <c r="H13" i="26"/>
  <c r="G13" i="26"/>
  <c r="H12" i="26"/>
  <c r="G12" i="26"/>
  <c r="H11" i="26"/>
  <c r="G11" i="26"/>
  <c r="F77" i="14" l="1"/>
  <c r="F75" i="14" l="1"/>
  <c r="F73" i="14"/>
  <c r="F74" i="14"/>
  <c r="F72" i="14"/>
  <c r="F108" i="14"/>
  <c r="F100" i="14"/>
  <c r="F97" i="14"/>
  <c r="F96" i="14"/>
  <c r="D138" i="14"/>
  <c r="D134" i="14"/>
  <c r="C134" i="14" l="1"/>
  <c r="F46" i="14"/>
  <c r="F47" i="14"/>
  <c r="F48" i="14"/>
  <c r="F49" i="14"/>
  <c r="F45" i="14"/>
  <c r="F88" i="22" l="1"/>
  <c r="F57" i="22"/>
  <c r="F42" i="22"/>
  <c r="F91" i="26"/>
  <c r="F111" i="26"/>
  <c r="F115" i="22"/>
  <c r="F112" i="22" s="1"/>
  <c r="F117" i="22"/>
  <c r="F90" i="22"/>
  <c r="F104" i="22"/>
  <c r="F84" i="22"/>
  <c r="F83" i="22"/>
  <c r="F48" i="22"/>
  <c r="F45" i="22" s="1"/>
  <c r="F18" i="22"/>
  <c r="F162" i="26"/>
  <c r="F99" i="26"/>
  <c r="F59" i="26"/>
  <c r="F71" i="26"/>
  <c r="F62" i="26"/>
  <c r="F73" i="26"/>
  <c r="F60" i="26"/>
  <c r="F70" i="26"/>
  <c r="F58" i="26"/>
  <c r="F30" i="22"/>
  <c r="F157" i="26"/>
  <c r="F237" i="26"/>
  <c r="F236" i="26"/>
  <c r="F235" i="26"/>
  <c r="F358" i="26"/>
  <c r="H62" i="26" l="1"/>
  <c r="G62" i="26"/>
  <c r="H358" i="26"/>
  <c r="G358" i="26"/>
  <c r="H58" i="26"/>
  <c r="G58" i="26"/>
  <c r="H235" i="26"/>
  <c r="G235" i="26"/>
  <c r="G70" i="26"/>
  <c r="H70" i="26"/>
  <c r="G60" i="26"/>
  <c r="H60" i="26"/>
  <c r="G91" i="26"/>
  <c r="H91" i="26"/>
  <c r="H157" i="26"/>
  <c r="G157" i="26"/>
  <c r="G162" i="26"/>
  <c r="H162" i="26"/>
  <c r="H71" i="26"/>
  <c r="G71" i="26"/>
  <c r="H263" i="26"/>
  <c r="G263" i="26"/>
  <c r="H59" i="26"/>
  <c r="G59" i="26"/>
  <c r="F159" i="26"/>
  <c r="H111" i="26"/>
  <c r="G111" i="26"/>
  <c r="H236" i="26"/>
  <c r="G236" i="26"/>
  <c r="H237" i="26"/>
  <c r="G237" i="26"/>
  <c r="G73" i="26"/>
  <c r="H73" i="26"/>
  <c r="H99" i="26"/>
  <c r="G99" i="26"/>
  <c r="F34" i="26"/>
  <c r="F24" i="22"/>
  <c r="M20" i="26" l="1"/>
  <c r="H34" i="26"/>
  <c r="G34" i="26"/>
  <c r="M33" i="26"/>
  <c r="G16" i="26"/>
  <c r="H16" i="26"/>
  <c r="E12" i="22"/>
  <c r="D20" i="22"/>
  <c r="D12" i="22" s="1"/>
  <c r="C138" i="14"/>
  <c r="H116" i="14"/>
  <c r="G116" i="14"/>
  <c r="H113" i="14"/>
  <c r="G113" i="14"/>
  <c r="H112" i="14"/>
  <c r="G112" i="14"/>
  <c r="H111" i="14"/>
  <c r="G111" i="14"/>
  <c r="H110" i="14"/>
  <c r="G110" i="14"/>
  <c r="F109" i="14"/>
  <c r="E109" i="14"/>
  <c r="D109" i="14"/>
  <c r="C109" i="14"/>
  <c r="H108" i="14"/>
  <c r="G108" i="14"/>
  <c r="H107" i="14"/>
  <c r="G107" i="14"/>
  <c r="H106" i="14"/>
  <c r="G106" i="14"/>
  <c r="H105" i="14"/>
  <c r="G105" i="14"/>
  <c r="F104" i="14"/>
  <c r="F114" i="14" s="1"/>
  <c r="E104" i="14"/>
  <c r="E114" i="14" s="1"/>
  <c r="D104" i="14"/>
  <c r="D114" i="14" s="1"/>
  <c r="C104" i="14"/>
  <c r="C114" i="14" s="1"/>
  <c r="H101" i="14"/>
  <c r="G101" i="14"/>
  <c r="H100" i="14"/>
  <c r="G100" i="14"/>
  <c r="H99" i="14"/>
  <c r="G99" i="14"/>
  <c r="H98" i="14"/>
  <c r="G98" i="14"/>
  <c r="H97" i="14"/>
  <c r="G97" i="14"/>
  <c r="H96" i="14"/>
  <c r="G96" i="14"/>
  <c r="H95" i="14"/>
  <c r="G95" i="14"/>
  <c r="F94" i="14"/>
  <c r="F93" i="14" s="1"/>
  <c r="E94" i="14"/>
  <c r="E93" i="14" s="1"/>
  <c r="D94" i="14"/>
  <c r="D93" i="14" s="1"/>
  <c r="C94" i="14"/>
  <c r="C93" i="14" s="1"/>
  <c r="H92" i="14"/>
  <c r="G92" i="14"/>
  <c r="F91" i="14"/>
  <c r="E91" i="14"/>
  <c r="D91" i="14"/>
  <c r="C91" i="14"/>
  <c r="H88" i="14"/>
  <c r="G88" i="14"/>
  <c r="H87" i="14"/>
  <c r="G87" i="14"/>
  <c r="H86" i="14"/>
  <c r="G86" i="14"/>
  <c r="H85" i="14"/>
  <c r="G85" i="14"/>
  <c r="H84" i="14"/>
  <c r="G84" i="14"/>
  <c r="H83" i="14"/>
  <c r="G83" i="14"/>
  <c r="H82" i="14"/>
  <c r="G82" i="14"/>
  <c r="H81" i="14"/>
  <c r="G81" i="14"/>
  <c r="H80" i="14"/>
  <c r="G80" i="14"/>
  <c r="F79" i="14"/>
  <c r="F76" i="14" s="1"/>
  <c r="E79" i="14"/>
  <c r="E76" i="14" s="1"/>
  <c r="D79" i="14"/>
  <c r="D76" i="14" s="1"/>
  <c r="H78" i="14"/>
  <c r="G78" i="14"/>
  <c r="H77" i="14"/>
  <c r="G77" i="14"/>
  <c r="C76" i="14"/>
  <c r="H75" i="14"/>
  <c r="G75" i="14"/>
  <c r="H74" i="14"/>
  <c r="G74" i="14"/>
  <c r="H73" i="14"/>
  <c r="G73" i="14"/>
  <c r="H72" i="14"/>
  <c r="G72" i="14"/>
  <c r="F71" i="14"/>
  <c r="E71" i="14"/>
  <c r="D71" i="14"/>
  <c r="D26" i="27"/>
  <c r="E26" i="27"/>
  <c r="C26" i="27"/>
  <c r="D31" i="27"/>
  <c r="E31" i="27"/>
  <c r="C31" i="27"/>
  <c r="E239" i="27"/>
  <c r="D244" i="27"/>
  <c r="D243" i="27" s="1"/>
  <c r="D242" i="27" s="1"/>
  <c r="E244" i="27"/>
  <c r="C244" i="27"/>
  <c r="C243" i="27" s="1"/>
  <c r="C242" i="27" s="1"/>
  <c r="D239" i="27"/>
  <c r="C239" i="27"/>
  <c r="D35" i="27"/>
  <c r="E35" i="27"/>
  <c r="D126" i="27"/>
  <c r="E126" i="27"/>
  <c r="C176" i="27"/>
  <c r="C167" i="27"/>
  <c r="C160" i="27"/>
  <c r="C43" i="27"/>
  <c r="C35" i="27" s="1"/>
  <c r="C75" i="14"/>
  <c r="D8" i="27"/>
  <c r="E8" i="27"/>
  <c r="E7" i="27" s="1"/>
  <c r="C8" i="27"/>
  <c r="D13" i="27"/>
  <c r="C13" i="27"/>
  <c r="C73" i="14" s="1"/>
  <c r="D7" i="27" l="1"/>
  <c r="C7" i="27"/>
  <c r="E243" i="27"/>
  <c r="G244" i="27"/>
  <c r="F244" i="27"/>
  <c r="G31" i="27"/>
  <c r="F31" i="27"/>
  <c r="G126" i="27"/>
  <c r="F126" i="27"/>
  <c r="G35" i="27"/>
  <c r="F35" i="27"/>
  <c r="G26" i="27"/>
  <c r="F26" i="27"/>
  <c r="G239" i="27"/>
  <c r="F239" i="27"/>
  <c r="D102" i="14"/>
  <c r="C102" i="14"/>
  <c r="C72" i="14"/>
  <c r="C71" i="14" s="1"/>
  <c r="C89" i="14" s="1"/>
  <c r="C115" i="14" s="1"/>
  <c r="C117" i="14" s="1"/>
  <c r="E102" i="14"/>
  <c r="D89" i="14"/>
  <c r="F89" i="14"/>
  <c r="F102" i="14"/>
  <c r="G102" i="14" s="1"/>
  <c r="H76" i="14"/>
  <c r="E89" i="14"/>
  <c r="E115" i="14" s="1"/>
  <c r="E117" i="14" s="1"/>
  <c r="H79" i="14"/>
  <c r="H93" i="14"/>
  <c r="H94" i="14"/>
  <c r="H109" i="14"/>
  <c r="H114" i="14"/>
  <c r="G114" i="14"/>
  <c r="G71" i="14"/>
  <c r="G76" i="14"/>
  <c r="G79" i="14"/>
  <c r="G91" i="14"/>
  <c r="G93" i="14"/>
  <c r="G94" i="14"/>
  <c r="G104" i="14"/>
  <c r="G109" i="14"/>
  <c r="H71" i="14"/>
  <c r="H91" i="14"/>
  <c r="H104" i="14"/>
  <c r="D34" i="27"/>
  <c r="D30" i="27" s="1"/>
  <c r="E34" i="27"/>
  <c r="C126" i="27"/>
  <c r="C34" i="27" s="1"/>
  <c r="C30" i="27" s="1"/>
  <c r="G18" i="27"/>
  <c r="F18" i="27"/>
  <c r="G17" i="27"/>
  <c r="F17" i="27"/>
  <c r="G13" i="27"/>
  <c r="F13" i="27"/>
  <c r="G12" i="27"/>
  <c r="F12" i="27"/>
  <c r="G8" i="27"/>
  <c r="F8" i="27"/>
  <c r="E242" i="27" l="1"/>
  <c r="G243" i="27"/>
  <c r="F243" i="27"/>
  <c r="E30" i="27"/>
  <c r="G34" i="27"/>
  <c r="F34" i="27"/>
  <c r="D115" i="14"/>
  <c r="D117" i="14" s="1"/>
  <c r="H102" i="14"/>
  <c r="F115" i="14"/>
  <c r="H115" i="14" s="1"/>
  <c r="G89" i="14"/>
  <c r="H89" i="14"/>
  <c r="G242" i="27" l="1"/>
  <c r="F242" i="27"/>
  <c r="G30" i="27"/>
  <c r="F30" i="27"/>
  <c r="F117" i="14"/>
  <c r="G117" i="14" s="1"/>
  <c r="G115" i="14"/>
  <c r="H117" i="14" l="1"/>
  <c r="D49" i="26"/>
  <c r="F12" i="22"/>
  <c r="M34" i="26" l="1"/>
  <c r="H17" i="26"/>
  <c r="G17" i="26"/>
  <c r="F90" i="26"/>
  <c r="F139" i="26"/>
  <c r="H90" i="26" l="1"/>
  <c r="G90" i="26"/>
  <c r="F88" i="26"/>
  <c r="F109" i="26"/>
  <c r="F77" i="26" l="1"/>
  <c r="G88" i="26"/>
  <c r="H88" i="26"/>
  <c r="F167" i="26"/>
  <c r="F295" i="26"/>
  <c r="H295" i="26" l="1"/>
  <c r="G295" i="26"/>
  <c r="F105" i="26"/>
  <c r="F104" i="26" l="1"/>
  <c r="F25" i="26"/>
  <c r="G25" i="26" l="1"/>
  <c r="H25" i="26"/>
  <c r="F281" i="26"/>
  <c r="F234" i="26"/>
  <c r="F209" i="26"/>
  <c r="F202" i="26"/>
  <c r="F190" i="26"/>
  <c r="F67" i="26"/>
  <c r="F280" i="26" l="1"/>
  <c r="D55" i="14"/>
  <c r="F61" i="26" l="1"/>
  <c r="F124" i="26"/>
  <c r="H61" i="26" l="1"/>
  <c r="G61" i="26"/>
  <c r="F321" i="26"/>
  <c r="F320" i="26" l="1"/>
  <c r="G321" i="26"/>
  <c r="H321" i="26"/>
  <c r="F27" i="26"/>
  <c r="G27" i="26" l="1"/>
  <c r="H27" i="26"/>
  <c r="M19" i="26"/>
  <c r="F38" i="26"/>
  <c r="G38" i="26" l="1"/>
  <c r="H38" i="26"/>
  <c r="F131" i="26"/>
  <c r="F329" i="26" l="1"/>
  <c r="H329" i="26" l="1"/>
  <c r="G329" i="26"/>
  <c r="F15" i="26"/>
  <c r="F40" i="26"/>
  <c r="H15" i="26" l="1"/>
  <c r="G15" i="26"/>
  <c r="F36" i="26"/>
  <c r="H40" i="26"/>
  <c r="G40" i="26"/>
  <c r="F270" i="26"/>
  <c r="H270" i="26" l="1"/>
  <c r="G270" i="26"/>
  <c r="F279" i="26"/>
  <c r="F278" i="26"/>
  <c r="F268" i="26" l="1"/>
  <c r="H278" i="26"/>
  <c r="G278" i="26"/>
  <c r="H279" i="26"/>
  <c r="G279" i="26"/>
  <c r="F22" i="26"/>
  <c r="F20" i="26"/>
  <c r="F21" i="26"/>
  <c r="F24" i="26"/>
  <c r="F23" i="26"/>
  <c r="F28" i="26"/>
  <c r="F14" i="26"/>
  <c r="G22" i="26" l="1"/>
  <c r="H22" i="26"/>
  <c r="G21" i="26"/>
  <c r="H21" i="26"/>
  <c r="F10" i="26"/>
  <c r="G14" i="26"/>
  <c r="H14" i="26"/>
  <c r="G28" i="26"/>
  <c r="H28" i="26"/>
  <c r="H23" i="26"/>
  <c r="G23" i="26"/>
  <c r="G24" i="26"/>
  <c r="H24" i="26"/>
  <c r="G20" i="26"/>
  <c r="H20" i="26"/>
  <c r="F19" i="26"/>
  <c r="F331" i="26"/>
  <c r="F325" i="26"/>
  <c r="F332" i="26"/>
  <c r="F306" i="26"/>
  <c r="F305" i="26"/>
  <c r="F292" i="26"/>
  <c r="F297" i="26"/>
  <c r="E76" i="9"/>
  <c r="F76" i="9"/>
  <c r="G76" i="9"/>
  <c r="H76" i="9"/>
  <c r="I76" i="9"/>
  <c r="J76" i="9"/>
  <c r="K76" i="9"/>
  <c r="L76" i="9"/>
  <c r="N76" i="9" l="1"/>
  <c r="M76" i="9"/>
  <c r="H292" i="26"/>
  <c r="G292" i="26"/>
  <c r="H305" i="26"/>
  <c r="G305" i="26"/>
  <c r="H332" i="26"/>
  <c r="G332" i="26"/>
  <c r="H325" i="26"/>
  <c r="G325" i="26"/>
  <c r="H306" i="26"/>
  <c r="G306" i="26"/>
  <c r="H297" i="26"/>
  <c r="G297" i="26"/>
  <c r="H331" i="26"/>
  <c r="G331" i="26"/>
  <c r="F291" i="26"/>
  <c r="F323" i="26"/>
  <c r="H7" i="9"/>
  <c r="H151" i="9" s="1"/>
  <c r="I7" i="9"/>
  <c r="J7" i="9"/>
  <c r="J151" i="9" s="1"/>
  <c r="K7" i="9"/>
  <c r="L7" i="9"/>
  <c r="L151" i="9" s="1"/>
  <c r="P76" i="9" l="1"/>
  <c r="O76" i="9"/>
  <c r="F319" i="26"/>
  <c r="E6" i="24"/>
  <c r="E227" i="24" l="1"/>
  <c r="E98" i="24"/>
  <c r="E5" i="24" l="1"/>
  <c r="E86" i="22"/>
  <c r="E30" i="22"/>
  <c r="D86" i="22" l="1"/>
  <c r="D82" i="22"/>
  <c r="D45" i="22"/>
  <c r="D30" i="22"/>
  <c r="F256" i="26" l="1"/>
  <c r="H256" i="26" l="1"/>
  <c r="G256" i="26"/>
  <c r="D256" i="26"/>
  <c r="D255" i="26" s="1"/>
  <c r="D253" i="26" s="1"/>
  <c r="E253" i="26"/>
  <c r="D281" i="26"/>
  <c r="D268" i="26"/>
  <c r="D190" i="26"/>
  <c r="D209" i="26"/>
  <c r="D202" i="26"/>
  <c r="D178" i="26"/>
  <c r="D167" i="26"/>
  <c r="D155" i="26"/>
  <c r="D149" i="26"/>
  <c r="D148" i="26" s="1"/>
  <c r="D131" i="26"/>
  <c r="D109" i="26"/>
  <c r="D105" i="26"/>
  <c r="D77" i="26"/>
  <c r="D10" i="26"/>
  <c r="C227" i="24"/>
  <c r="C148" i="24"/>
  <c r="C139" i="24"/>
  <c r="C132" i="24"/>
  <c r="C14" i="24"/>
  <c r="D189" i="26" l="1"/>
  <c r="C98" i="24"/>
  <c r="E202" i="26"/>
  <c r="E224" i="26"/>
  <c r="D224" i="26"/>
  <c r="G7" i="9"/>
  <c r="G151" i="9" s="1"/>
  <c r="D227" i="24"/>
  <c r="D6" i="24"/>
  <c r="C6" i="24"/>
  <c r="H202" i="26" l="1"/>
  <c r="G202" i="26"/>
  <c r="H224" i="26"/>
  <c r="G224" i="26"/>
  <c r="F262" i="26"/>
  <c r="F261" i="26" l="1"/>
  <c r="H262" i="26"/>
  <c r="G262" i="26"/>
  <c r="E139" i="14"/>
  <c r="E140" i="14"/>
  <c r="E141" i="14"/>
  <c r="D139" i="14"/>
  <c r="D143" i="14" s="1"/>
  <c r="F143" i="14" s="1"/>
  <c r="E134" i="14"/>
  <c r="E138" i="14"/>
  <c r="F260" i="26" l="1"/>
  <c r="H261" i="26"/>
  <c r="G261" i="26"/>
  <c r="E217" i="26"/>
  <c r="F217" i="26"/>
  <c r="D217" i="26"/>
  <c r="D177" i="26"/>
  <c r="D166" i="26"/>
  <c r="E10" i="26"/>
  <c r="E248" i="26"/>
  <c r="D251" i="26"/>
  <c r="E251" i="26"/>
  <c r="D234" i="26"/>
  <c r="D233" i="26" s="1"/>
  <c r="E234" i="26"/>
  <c r="E190" i="26"/>
  <c r="E209" i="26"/>
  <c r="G10" i="26" l="1"/>
  <c r="H10" i="26"/>
  <c r="H217" i="26"/>
  <c r="G217" i="26"/>
  <c r="E208" i="26"/>
  <c r="H209" i="26"/>
  <c r="G209" i="26"/>
  <c r="H190" i="26"/>
  <c r="G190" i="26"/>
  <c r="E233" i="26"/>
  <c r="E231" i="26" s="1"/>
  <c r="H234" i="26"/>
  <c r="G234" i="26"/>
  <c r="H260" i="26"/>
  <c r="G260" i="26"/>
  <c r="E250" i="26"/>
  <c r="D250" i="26"/>
  <c r="E247" i="26"/>
  <c r="E167" i="26"/>
  <c r="E159" i="26"/>
  <c r="E178" i="26"/>
  <c r="F178" i="26"/>
  <c r="E166" i="26" l="1"/>
  <c r="H167" i="26"/>
  <c r="G167" i="26"/>
  <c r="H159" i="26"/>
  <c r="G159" i="26"/>
  <c r="H178" i="26"/>
  <c r="G178" i="26"/>
  <c r="E245" i="26"/>
  <c r="H10" i="22"/>
  <c r="G10" i="22"/>
  <c r="H9" i="22"/>
  <c r="G9" i="22"/>
  <c r="H8" i="22"/>
  <c r="G8" i="22"/>
  <c r="F53" i="14" l="1"/>
  <c r="F60" i="14" l="1"/>
  <c r="D59" i="14" l="1"/>
  <c r="F49" i="26" l="1"/>
  <c r="F166" i="26" l="1"/>
  <c r="F156" i="26"/>
  <c r="F155" i="26" l="1"/>
  <c r="G156" i="26"/>
  <c r="H156" i="26"/>
  <c r="G166" i="26"/>
  <c r="H166" i="26"/>
  <c r="F55" i="26"/>
  <c r="H56" i="26"/>
  <c r="G56" i="26"/>
  <c r="G55" i="26" l="1"/>
  <c r="H55" i="26"/>
  <c r="F54" i="26"/>
  <c r="F52" i="26" s="1"/>
  <c r="D19" i="26"/>
  <c r="D9" i="26" s="1"/>
  <c r="G54" i="26" l="1"/>
  <c r="H54" i="26"/>
  <c r="H52" i="26"/>
  <c r="G52" i="26"/>
  <c r="F360" i="26"/>
  <c r="M22" i="26" l="1"/>
  <c r="H360" i="26"/>
  <c r="G360" i="26"/>
  <c r="F208" i="26"/>
  <c r="H208" i="26" l="1"/>
  <c r="G208" i="26"/>
  <c r="F189" i="26"/>
  <c r="F303" i="26"/>
  <c r="H303" i="26" l="1"/>
  <c r="G303" i="26"/>
  <c r="F299" i="26"/>
  <c r="F187" i="26"/>
  <c r="F290" i="26" l="1"/>
  <c r="F45" i="26"/>
  <c r="H45" i="26" l="1"/>
  <c r="G45" i="26"/>
  <c r="F288" i="26"/>
  <c r="F42" i="26"/>
  <c r="E112" i="22"/>
  <c r="E7" i="22"/>
  <c r="D342" i="26" l="1"/>
  <c r="D291" i="26"/>
  <c r="D299" i="26"/>
  <c r="D323" i="26"/>
  <c r="D208" i="26"/>
  <c r="D187" i="26" s="1"/>
  <c r="D290" i="26" l="1"/>
  <c r="F184" i="26"/>
  <c r="D184" i="26"/>
  <c r="D182" i="26" s="1"/>
  <c r="F182" i="26" l="1"/>
  <c r="D42" i="26"/>
  <c r="E337" i="26"/>
  <c r="E336" i="26" s="1"/>
  <c r="E334" i="26" s="1"/>
  <c r="D337" i="26"/>
  <c r="E291" i="26"/>
  <c r="E299" i="26"/>
  <c r="D320" i="26"/>
  <c r="K19" i="26" s="1"/>
  <c r="E323" i="26"/>
  <c r="F248" i="26"/>
  <c r="F251" i="26"/>
  <c r="F241" i="26"/>
  <c r="H323" i="26" l="1"/>
  <c r="G323" i="26"/>
  <c r="H299" i="26"/>
  <c r="G299" i="26"/>
  <c r="H241" i="26"/>
  <c r="G241" i="26"/>
  <c r="M30" i="26"/>
  <c r="H291" i="26"/>
  <c r="G291" i="26"/>
  <c r="F250" i="26"/>
  <c r="M23" i="26"/>
  <c r="G251" i="26"/>
  <c r="H251" i="26"/>
  <c r="F247" i="26"/>
  <c r="M16" i="26"/>
  <c r="G248" i="26"/>
  <c r="H248" i="26"/>
  <c r="F240" i="26"/>
  <c r="D319" i="26"/>
  <c r="D288" i="26" s="1"/>
  <c r="D357" i="26"/>
  <c r="K15" i="26" s="1"/>
  <c r="D360" i="26"/>
  <c r="K22" i="26" s="1"/>
  <c r="D341" i="26"/>
  <c r="D339" i="26" s="1"/>
  <c r="D336" i="26"/>
  <c r="D334" i="26" s="1"/>
  <c r="D285" i="26"/>
  <c r="E281" i="26"/>
  <c r="D280" i="26"/>
  <c r="E268" i="26"/>
  <c r="D261" i="26"/>
  <c r="D241" i="26"/>
  <c r="D240" i="26" s="1"/>
  <c r="D238" i="26" s="1"/>
  <c r="D231" i="26"/>
  <c r="D229" i="26"/>
  <c r="D228" i="26" s="1"/>
  <c r="D226" i="26" s="1"/>
  <c r="D223" i="26"/>
  <c r="D221" i="26" s="1"/>
  <c r="D216" i="26"/>
  <c r="E36" i="26"/>
  <c r="D36" i="26"/>
  <c r="K23" i="26" s="1"/>
  <c r="E19" i="26"/>
  <c r="M36" i="26" l="1"/>
  <c r="M37" i="26" s="1"/>
  <c r="H36" i="26"/>
  <c r="G36" i="26"/>
  <c r="G268" i="26"/>
  <c r="H268" i="26"/>
  <c r="E280" i="26"/>
  <c r="H281" i="26"/>
  <c r="G281" i="26"/>
  <c r="H240" i="26"/>
  <c r="G240" i="26"/>
  <c r="G19" i="26"/>
  <c r="H19" i="26"/>
  <c r="F245" i="26"/>
  <c r="H250" i="26"/>
  <c r="G250" i="26"/>
  <c r="D33" i="26"/>
  <c r="D359" i="26"/>
  <c r="E9" i="26"/>
  <c r="D356" i="26"/>
  <c r="D214" i="26"/>
  <c r="D260" i="26"/>
  <c r="E131" i="26"/>
  <c r="D7" i="26" l="1"/>
  <c r="H216" i="26"/>
  <c r="G216" i="26"/>
  <c r="G131" i="26"/>
  <c r="H131" i="26"/>
  <c r="H280" i="26"/>
  <c r="G280" i="26"/>
  <c r="H245" i="26"/>
  <c r="G245" i="26"/>
  <c r="F214" i="26"/>
  <c r="D258" i="26"/>
  <c r="D354" i="26"/>
  <c r="F258" i="26"/>
  <c r="D112" i="22"/>
  <c r="E7" i="9"/>
  <c r="F7" i="9"/>
  <c r="H214" i="26" l="1"/>
  <c r="G214" i="26"/>
  <c r="N7" i="9"/>
  <c r="D139" i="26" l="1"/>
  <c r="E82" i="22" l="1"/>
  <c r="D140" i="14" l="1"/>
  <c r="D144" i="14" s="1"/>
  <c r="D141" i="14"/>
  <c r="D145" i="14" s="1"/>
  <c r="F144" i="14" l="1"/>
  <c r="F145" i="14"/>
  <c r="F140" i="14"/>
  <c r="F141" i="14"/>
  <c r="F139" i="14"/>
  <c r="F136" i="14"/>
  <c r="F137" i="14"/>
  <c r="F135" i="14"/>
  <c r="F132" i="14"/>
  <c r="F133" i="14"/>
  <c r="F131" i="14"/>
  <c r="C140" i="14"/>
  <c r="C144" i="14" s="1"/>
  <c r="C141" i="14"/>
  <c r="C139" i="14"/>
  <c r="C143" i="14" s="1"/>
  <c r="F134" i="14" l="1"/>
  <c r="F125" i="14"/>
  <c r="F122" i="14"/>
  <c r="F121" i="14"/>
  <c r="F67" i="14"/>
  <c r="F55" i="14"/>
  <c r="F138" i="14"/>
  <c r="C22" i="14"/>
  <c r="F238" i="26" l="1"/>
  <c r="F337" i="26"/>
  <c r="H337" i="26" l="1"/>
  <c r="G337" i="26"/>
  <c r="M12" i="26"/>
  <c r="H238" i="26"/>
  <c r="G238" i="26"/>
  <c r="F336" i="26"/>
  <c r="F154" i="26"/>
  <c r="F334" i="26" l="1"/>
  <c r="H336" i="26"/>
  <c r="G336" i="26"/>
  <c r="H11" i="22"/>
  <c r="H334" i="26" l="1"/>
  <c r="G334" i="26"/>
  <c r="F82" i="22"/>
  <c r="C5" i="24" l="1"/>
  <c r="F177" i="26" l="1"/>
  <c r="F9" i="26" l="1"/>
  <c r="D159" i="26"/>
  <c r="D124" i="26"/>
  <c r="K30" i="26" s="1"/>
  <c r="D47" i="26"/>
  <c r="E49" i="26"/>
  <c r="H9" i="26" l="1"/>
  <c r="G9" i="26"/>
  <c r="E47" i="26"/>
  <c r="H49" i="26"/>
  <c r="G49" i="26"/>
  <c r="D154" i="26"/>
  <c r="D152" i="26" s="1"/>
  <c r="E45" i="22"/>
  <c r="H45" i="22" l="1"/>
  <c r="G45" i="22"/>
  <c r="F66" i="14"/>
  <c r="F59" i="14"/>
  <c r="E59" i="14"/>
  <c r="C57" i="14"/>
  <c r="F17" i="14"/>
  <c r="F18" i="14"/>
  <c r="F19" i="14"/>
  <c r="F20" i="14"/>
  <c r="F21" i="14"/>
  <c r="F23" i="14"/>
  <c r="F24" i="14"/>
  <c r="F26" i="14"/>
  <c r="F27" i="14"/>
  <c r="F28" i="14"/>
  <c r="F29" i="14"/>
  <c r="F30" i="14"/>
  <c r="F32" i="14"/>
  <c r="F33" i="14"/>
  <c r="F34" i="14"/>
  <c r="F35" i="14"/>
  <c r="F37" i="14"/>
  <c r="F38" i="14"/>
  <c r="F40" i="14"/>
  <c r="F41" i="14"/>
  <c r="F10" i="14"/>
  <c r="F11" i="14"/>
  <c r="F12" i="14"/>
  <c r="F13" i="14"/>
  <c r="F14" i="14"/>
  <c r="F8" i="14"/>
  <c r="D24" i="22" l="1"/>
  <c r="E24" i="22"/>
  <c r="E356" i="26" l="1"/>
  <c r="D98" i="24" l="1"/>
  <c r="F152" i="26" l="1"/>
  <c r="F47" i="26" l="1"/>
  <c r="H47" i="26" l="1"/>
  <c r="G47" i="26"/>
  <c r="D248" i="26"/>
  <c r="K16" i="26" s="1"/>
  <c r="K36" i="26" s="1"/>
  <c r="K37" i="26" s="1"/>
  <c r="D247" i="26" l="1"/>
  <c r="K11" i="26" s="1"/>
  <c r="E343" i="26"/>
  <c r="H343" i="26" l="1"/>
  <c r="G343" i="26"/>
  <c r="E298" i="26"/>
  <c r="L15" i="26" l="1"/>
  <c r="H298" i="26"/>
  <c r="G298" i="26"/>
  <c r="E290" i="26"/>
  <c r="D67" i="26"/>
  <c r="G290" i="26" l="1"/>
  <c r="H290" i="26"/>
  <c r="D66" i="26"/>
  <c r="E42" i="26"/>
  <c r="H42" i="26" l="1"/>
  <c r="G42" i="26"/>
  <c r="D245" i="26"/>
  <c r="D6" i="26" s="1"/>
  <c r="F359" i="26" l="1"/>
  <c r="E258" i="26"/>
  <c r="H359" i="26" l="1"/>
  <c r="G359" i="26"/>
  <c r="H258" i="26"/>
  <c r="G258" i="26"/>
  <c r="F357" i="26"/>
  <c r="F255" i="26"/>
  <c r="F253" i="26" l="1"/>
  <c r="H255" i="26"/>
  <c r="G255" i="26"/>
  <c r="M15" i="26"/>
  <c r="H357" i="26"/>
  <c r="G357" i="26"/>
  <c r="F356" i="26"/>
  <c r="F66" i="26"/>
  <c r="F354" i="26" l="1"/>
  <c r="H356" i="26"/>
  <c r="G356" i="26"/>
  <c r="H253" i="26"/>
  <c r="G253" i="26"/>
  <c r="E322" i="26"/>
  <c r="H354" i="26" l="1"/>
  <c r="G354" i="26"/>
  <c r="E320" i="26"/>
  <c r="H322" i="26"/>
  <c r="G322" i="26"/>
  <c r="E287" i="26"/>
  <c r="E319" i="26" l="1"/>
  <c r="H320" i="26"/>
  <c r="G320" i="26"/>
  <c r="H287" i="26"/>
  <c r="G287" i="26"/>
  <c r="K151" i="9"/>
  <c r="I151" i="9"/>
  <c r="F151" i="9"/>
  <c r="N151" i="9" s="1"/>
  <c r="E151" i="9"/>
  <c r="D5" i="24"/>
  <c r="M151" i="9" l="1"/>
  <c r="O151" i="9"/>
  <c r="P151" i="9"/>
  <c r="E288" i="26"/>
  <c r="H319" i="26"/>
  <c r="G319" i="26"/>
  <c r="D22" i="22"/>
  <c r="E22" i="22"/>
  <c r="F22" i="22"/>
  <c r="D7" i="22"/>
  <c r="F7" i="22"/>
  <c r="F223" i="26"/>
  <c r="F233" i="26"/>
  <c r="E223" i="26"/>
  <c r="E221" i="26" s="1"/>
  <c r="F231" i="26" l="1"/>
  <c r="H233" i="26"/>
  <c r="G233" i="26"/>
  <c r="H221" i="26"/>
  <c r="G221" i="26"/>
  <c r="H223" i="26"/>
  <c r="G223" i="26"/>
  <c r="H288" i="26"/>
  <c r="G288" i="26"/>
  <c r="D6" i="22"/>
  <c r="F6" i="22"/>
  <c r="E6" i="22"/>
  <c r="E177" i="26"/>
  <c r="E155" i="26"/>
  <c r="D130" i="26"/>
  <c r="E139" i="26"/>
  <c r="G247" i="26"/>
  <c r="H247" i="26"/>
  <c r="E77" i="26"/>
  <c r="E105" i="26"/>
  <c r="E67" i="26"/>
  <c r="F33" i="26"/>
  <c r="G6" i="22" l="1"/>
  <c r="H6" i="22"/>
  <c r="L19" i="26"/>
  <c r="H105" i="26"/>
  <c r="G105" i="26"/>
  <c r="E154" i="26"/>
  <c r="H155" i="26"/>
  <c r="G155" i="26"/>
  <c r="G177" i="26"/>
  <c r="H177" i="26"/>
  <c r="G67" i="26"/>
  <c r="H67" i="26"/>
  <c r="L12" i="26"/>
  <c r="H77" i="26"/>
  <c r="G77" i="26"/>
  <c r="L16" i="26"/>
  <c r="F7" i="26"/>
  <c r="F6" i="26" s="1"/>
  <c r="M18" i="26"/>
  <c r="G139" i="26"/>
  <c r="H139" i="26"/>
  <c r="G231" i="26"/>
  <c r="H231" i="26"/>
  <c r="I7" i="26"/>
  <c r="D128" i="26"/>
  <c r="E184" i="26"/>
  <c r="E66" i="26"/>
  <c r="F130" i="26"/>
  <c r="E33" i="26"/>
  <c r="E130" i="26"/>
  <c r="E128" i="26" s="1"/>
  <c r="H130" i="26" l="1"/>
  <c r="G130" i="26"/>
  <c r="G33" i="26"/>
  <c r="H154" i="26"/>
  <c r="G154" i="26"/>
  <c r="G184" i="26"/>
  <c r="H184" i="26"/>
  <c r="H66" i="26"/>
  <c r="G66" i="26"/>
  <c r="H33" i="26"/>
  <c r="G7" i="26"/>
  <c r="E152" i="26"/>
  <c r="E182" i="26"/>
  <c r="F128" i="26"/>
  <c r="E7" i="26"/>
  <c r="H7" i="26" s="1"/>
  <c r="H128" i="26" l="1"/>
  <c r="G128" i="26"/>
  <c r="G152" i="26"/>
  <c r="H152" i="26"/>
  <c r="H182" i="26"/>
  <c r="G182" i="26"/>
  <c r="C25" i="14"/>
  <c r="F50" i="14"/>
  <c r="E50" i="14"/>
  <c r="D50" i="14"/>
  <c r="C50" i="14"/>
  <c r="H49" i="14"/>
  <c r="G49" i="14"/>
  <c r="H48" i="14"/>
  <c r="G48" i="14"/>
  <c r="H47" i="14"/>
  <c r="G47" i="14"/>
  <c r="H46" i="14"/>
  <c r="G46" i="14"/>
  <c r="H45" i="14"/>
  <c r="G45" i="14"/>
  <c r="C130" i="14"/>
  <c r="C142" i="14" s="1"/>
  <c r="D130" i="14"/>
  <c r="D142" i="14" s="1"/>
  <c r="E130" i="14"/>
  <c r="E142" i="14" s="1"/>
  <c r="F130" i="14"/>
  <c r="F142" i="14" s="1"/>
  <c r="H50" i="14" l="1"/>
  <c r="G50" i="14"/>
  <c r="G227" i="24"/>
  <c r="G228" i="24"/>
  <c r="G229" i="24"/>
  <c r="H7" i="22" l="1"/>
  <c r="G7" i="22"/>
  <c r="H122" i="14" l="1"/>
  <c r="G122" i="14"/>
  <c r="M7" i="9" l="1"/>
  <c r="O7" i="9" s="1"/>
  <c r="F227" i="24"/>
  <c r="F228" i="24"/>
  <c r="H12" i="22"/>
  <c r="G12" i="22"/>
  <c r="G11" i="22"/>
  <c r="D104" i="26" l="1"/>
  <c r="K18" i="26" s="1"/>
  <c r="D123" i="26"/>
  <c r="K25" i="26" s="1"/>
  <c r="E124" i="26"/>
  <c r="E109" i="26"/>
  <c r="P7" i="9"/>
  <c r="G109" i="26" l="1"/>
  <c r="H109" i="26"/>
  <c r="L23" i="26"/>
  <c r="L36" i="26" s="1"/>
  <c r="L37" i="26" s="1"/>
  <c r="L30" i="26"/>
  <c r="G124" i="26"/>
  <c r="H124" i="26"/>
  <c r="K10" i="26"/>
  <c r="D64" i="26"/>
  <c r="E123" i="26"/>
  <c r="L25" i="26" s="1"/>
  <c r="F123" i="26"/>
  <c r="E104" i="26"/>
  <c r="H120" i="14"/>
  <c r="H121" i="14"/>
  <c r="H123" i="14"/>
  <c r="H124" i="14"/>
  <c r="H125" i="14"/>
  <c r="H126" i="14"/>
  <c r="G120" i="14"/>
  <c r="G121" i="14"/>
  <c r="G123" i="14"/>
  <c r="G124" i="14"/>
  <c r="G125" i="14"/>
  <c r="G126" i="14"/>
  <c r="H53" i="14"/>
  <c r="H54" i="14"/>
  <c r="H55" i="14"/>
  <c r="H56" i="14"/>
  <c r="H58" i="14"/>
  <c r="H59" i="14"/>
  <c r="H60" i="14"/>
  <c r="H61" i="14"/>
  <c r="H62" i="14"/>
  <c r="H63" i="14"/>
  <c r="H65" i="14"/>
  <c r="H66" i="14"/>
  <c r="H67" i="14"/>
  <c r="G53" i="14"/>
  <c r="G54" i="14"/>
  <c r="G55" i="14"/>
  <c r="G56" i="14"/>
  <c r="G58" i="14"/>
  <c r="G59" i="14"/>
  <c r="G60" i="14"/>
  <c r="G61" i="14"/>
  <c r="G62" i="14"/>
  <c r="G63" i="14"/>
  <c r="G65" i="14"/>
  <c r="G66" i="14"/>
  <c r="G67" i="14"/>
  <c r="H10" i="14"/>
  <c r="H11" i="14"/>
  <c r="H12" i="14"/>
  <c r="H13" i="14"/>
  <c r="H14" i="14"/>
  <c r="H17" i="14"/>
  <c r="H18" i="14"/>
  <c r="H19" i="14"/>
  <c r="H20" i="14"/>
  <c r="H21" i="14"/>
  <c r="H23" i="14"/>
  <c r="H24" i="14"/>
  <c r="H26" i="14"/>
  <c r="H27" i="14"/>
  <c r="H28" i="14"/>
  <c r="H29" i="14"/>
  <c r="H30" i="14"/>
  <c r="H32" i="14"/>
  <c r="H33" i="14"/>
  <c r="H34" i="14"/>
  <c r="H35" i="14"/>
  <c r="H37" i="14"/>
  <c r="H38" i="14"/>
  <c r="H40" i="14"/>
  <c r="H41" i="14"/>
  <c r="H104" i="26" l="1"/>
  <c r="G104" i="26"/>
  <c r="L18" i="26"/>
  <c r="H123" i="26"/>
  <c r="G123" i="26"/>
  <c r="M25" i="26"/>
  <c r="M10" i="26" s="1"/>
  <c r="F64" i="26"/>
  <c r="E64" i="26"/>
  <c r="H8" i="14"/>
  <c r="G18" i="14"/>
  <c r="G19" i="14"/>
  <c r="G20" i="14"/>
  <c r="G21" i="14"/>
  <c r="G10" i="14"/>
  <c r="G11" i="14"/>
  <c r="G12" i="14"/>
  <c r="G13" i="14"/>
  <c r="G14" i="14"/>
  <c r="G17" i="14"/>
  <c r="G23" i="14"/>
  <c r="G24" i="14"/>
  <c r="G26" i="14"/>
  <c r="G27" i="14"/>
  <c r="G28" i="14"/>
  <c r="G29" i="14"/>
  <c r="G30" i="14"/>
  <c r="G32" i="14"/>
  <c r="G33" i="14"/>
  <c r="G34" i="14"/>
  <c r="G35" i="14"/>
  <c r="G37" i="14"/>
  <c r="G38" i="14"/>
  <c r="G40" i="14"/>
  <c r="G41" i="14"/>
  <c r="G8" i="14"/>
  <c r="G64" i="26" l="1"/>
  <c r="H64" i="26"/>
  <c r="C119" i="14"/>
  <c r="D119" i="14"/>
  <c r="E119" i="14"/>
  <c r="F119" i="14"/>
  <c r="G119" i="14" l="1"/>
  <c r="H119" i="14"/>
  <c r="D57" i="14"/>
  <c r="D52" i="14"/>
  <c r="C52" i="14"/>
  <c r="D64" i="14"/>
  <c r="E64" i="14"/>
  <c r="F64" i="14"/>
  <c r="C64" i="14"/>
  <c r="E57" i="14"/>
  <c r="F57" i="14"/>
  <c r="E52" i="14"/>
  <c r="F52" i="14"/>
  <c r="E25" i="14"/>
  <c r="D22" i="14"/>
  <c r="E22" i="14"/>
  <c r="C42" i="14"/>
  <c r="E68" i="14" l="1"/>
  <c r="E42" i="14"/>
  <c r="D42" i="14"/>
  <c r="F22" i="14"/>
  <c r="G22" i="14" s="1"/>
  <c r="G64" i="14"/>
  <c r="H64" i="14"/>
  <c r="G57" i="14"/>
  <c r="H57" i="14"/>
  <c r="H52" i="14"/>
  <c r="C68" i="14"/>
  <c r="D68" i="14"/>
  <c r="F68" i="14"/>
  <c r="D25" i="14"/>
  <c r="F25" i="14" s="1"/>
  <c r="H25" i="14" s="1"/>
  <c r="D16" i="14"/>
  <c r="F16" i="14" s="1"/>
  <c r="E16" i="14"/>
  <c r="C16" i="14"/>
  <c r="D9" i="14"/>
  <c r="F9" i="14" s="1"/>
  <c r="E9" i="14"/>
  <c r="C9" i="14"/>
  <c r="F42" i="14" l="1"/>
  <c r="G42" i="14" s="1"/>
  <c r="H22" i="14"/>
  <c r="G25" i="14"/>
  <c r="C43" i="14"/>
  <c r="D43" i="14"/>
  <c r="E15" i="14"/>
  <c r="E31" i="14" s="1"/>
  <c r="E43" i="14"/>
  <c r="H9" i="14"/>
  <c r="H16" i="14"/>
  <c r="G68" i="14"/>
  <c r="H68" i="14"/>
  <c r="G9" i="14"/>
  <c r="G16" i="14"/>
  <c r="H42" i="14" l="1"/>
  <c r="F43" i="14"/>
  <c r="H43" i="14" s="1"/>
  <c r="E36" i="14"/>
  <c r="E39" i="14" s="1"/>
  <c r="G43" i="14" l="1"/>
  <c r="D15" i="14"/>
  <c r="D31" i="14" l="1"/>
  <c r="F31" i="14" s="1"/>
  <c r="F15" i="14"/>
  <c r="C15" i="14"/>
  <c r="D36" i="14" l="1"/>
  <c r="D39" i="14" s="1"/>
  <c r="F39" i="14" s="1"/>
  <c r="G15" i="14"/>
  <c r="H15" i="14"/>
  <c r="G31" i="14"/>
  <c r="H31" i="14"/>
  <c r="C31" i="14"/>
  <c r="C36" i="14" s="1"/>
  <c r="C39" i="14" s="1"/>
  <c r="F36" i="14" l="1"/>
  <c r="H36" i="14" s="1"/>
  <c r="H39" i="14"/>
  <c r="G39" i="14"/>
  <c r="G36" i="14" l="1"/>
  <c r="E189" i="26" l="1"/>
  <c r="G189" i="26" l="1"/>
  <c r="H189" i="26"/>
  <c r="L11" i="26"/>
  <c r="L10" i="26" s="1"/>
  <c r="E187" i="26"/>
  <c r="G187" i="26" l="1"/>
  <c r="H187" i="26"/>
  <c r="E6" i="26"/>
  <c r="G6" i="26" l="1"/>
  <c r="H6" i="26"/>
</calcChain>
</file>

<file path=xl/comments1.xml><?xml version="1.0" encoding="utf-8"?>
<comments xmlns="http://schemas.openxmlformats.org/spreadsheetml/2006/main">
  <authors>
    <author>Лопатинська Ліна Миколаївна</author>
  </authors>
  <commentList>
    <comment ref="H6" authorId="0" shapeId="0">
      <text>
        <r>
          <rPr>
            <b/>
            <sz val="9"/>
            <color indexed="81"/>
            <rFont val="Tahoma"/>
            <charset val="1"/>
          </rPr>
          <t xml:space="preserve">Л
</t>
        </r>
      </text>
    </comment>
  </commentList>
</comments>
</file>

<file path=xl/sharedStrings.xml><?xml version="1.0" encoding="utf-8"?>
<sst xmlns="http://schemas.openxmlformats.org/spreadsheetml/2006/main" count="1552" uniqueCount="717">
  <si>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</si>
  <si>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</si>
  <si>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</si>
  <si>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</si>
  <si>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</si>
  <si>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</si>
  <si>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</si>
  <si>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</si>
  <si>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</si>
  <si>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</si>
  <si>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</si>
  <si>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</si>
  <si>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</si>
  <si>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</si>
  <si>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</si>
  <si>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</si>
  <si>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</si>
  <si>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</si>
  <si>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</si>
  <si>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</si>
  <si>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</si>
  <si>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</si>
  <si>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</si>
  <si>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</si>
  <si>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</si>
  <si>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</si>
  <si>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</si>
  <si>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</si>
  <si>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</si>
  <si>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</si>
  <si>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</si>
  <si>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</si>
  <si>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</si>
  <si>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</si>
  <si>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</si>
  <si>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</si>
  <si>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</si>
  <si>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</si>
  <si>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</si>
  <si>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</si>
  <si>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</si>
  <si>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</si>
  <si>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</si>
  <si>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</si>
  <si>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</si>
  <si>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</si>
  <si>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</si>
  <si>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</si>
  <si>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</si>
  <si>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</si>
  <si>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</si>
  <si>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</si>
  <si>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</si>
  <si>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</si>
  <si>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</si>
  <si>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</si>
  <si>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</si>
  <si>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</si>
  <si>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</si>
  <si>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</si>
  <si>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</si>
  <si>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</si>
  <si>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</si>
  <si>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</si>
  <si>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</si>
  <si>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</si>
  <si>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</si>
  <si>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</si>
  <si>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</si>
  <si>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</si>
  <si>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</si>
  <si>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</si>
  <si>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</si>
  <si>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</si>
  <si>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</si>
  <si>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</si>
  <si>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</si>
  <si>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</si>
  <si>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</si>
  <si>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</si>
  <si>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</si>
  <si>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</si>
  <si>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</si>
  <si>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</si>
  <si>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</si>
  <si>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</si>
  <si>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</si>
  <si>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</si>
  <si>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</si>
  <si>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</si>
  <si>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</si>
  <si>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</si>
  <si>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</si>
  <si>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</si>
  <si>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</si>
  <si>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</si>
  <si>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</si>
  <si>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</si>
  <si>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</si>
  <si>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</si>
  <si>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</si>
  <si>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</si>
  <si>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</si>
  <si>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</si>
  <si>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4.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</si>
  <si>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</si>
  <si>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</si>
  <si>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</si>
  <si>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</si>
  <si>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</si>
  <si>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</si>
  <si>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</si>
  <si>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</si>
  <si>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</si>
  <si>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</si>
  <si>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</si>
  <si>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</si>
  <si>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</si>
  <si>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</si>
  <si>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</si>
  <si>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</si>
  <si>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</si>
  <si>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</si>
  <si>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</si>
  <si>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</si>
  <si>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</si>
  <si>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</si>
  <si>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</si>
  <si>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</si>
  <si>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</si>
  <si>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</si>
  <si>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Бюджетне фінансування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</si>
  <si>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</si>
  <si>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</si>
  <si>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</si>
  <si>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</si>
  <si>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</si>
  <si>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</si>
  <si>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витрати на сировину для молочної кухні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</si>
  <si>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</si>
  <si>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</si>
  <si>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</si>
  <si>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</si>
  <si>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</si>
  <si>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</si>
  <si>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</si>
  <si>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скринінгові дослідження новонароджених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</si>
  <si>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</si>
  <si>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</si>
  <si>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</si>
  <si>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</si>
  <si>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</si>
  <si>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</si>
  <si>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</si>
  <si>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</si>
  <si>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</si>
  <si>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</si>
  <si>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>супровід програмного забезпечення, медіа-супровід, обслуговування сайту, кваліфікований електронний підпис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</si>
  <si>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</si>
  <si>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</si>
  <si>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</si>
  <si>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</si>
  <si>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</si>
  <si>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</si>
  <si>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</si>
  <si>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</si>
  <si>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</si>
  <si>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</si>
  <si>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>страхування цивільної відповідальності власників транспортних засобів</t>
  </si>
  <si>
    <t>утилізація, дезінфекція, дезінсекція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</si>
  <si>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</si>
  <si>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</si>
  <si>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</si>
  <si>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</si>
  <si>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</si>
  <si>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</si>
  <si>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</si>
  <si>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 xml:space="preserve">За рахунок коштів отриманих від реалізації продукції молочної кухні </t>
  </si>
  <si>
    <t>паливно-мастильні матеріали</t>
  </si>
  <si>
    <t>Інші витрати, у сього, у т.ч.:</t>
  </si>
  <si>
    <t>ремонт та технічне обслуговування немедичного обладнання</t>
  </si>
  <si>
    <t>страхування цивільно-правової відповідальності власників транспортних засобів</t>
  </si>
  <si>
    <t>Інші  витрати, усього, у т.ч.:</t>
  </si>
  <si>
    <r>
      <t>Кошти державного бюджету (</t>
    </r>
    <r>
      <rPr>
        <b/>
        <i/>
        <sz val="16"/>
        <rFont val="Times New Roman"/>
        <family val="1"/>
        <charset val="204"/>
      </rPr>
      <t>відшкодування лікарям-інтернам за проходження інтернатури)</t>
    </r>
  </si>
  <si>
    <t>8.</t>
  </si>
  <si>
    <t>витратні матеріали для хворих, що знаходяться на лікуванні у відділенні анестезіології  2019-n CoV</t>
  </si>
  <si>
    <t>витратні матеріали для хворих на цукровий діабет</t>
  </si>
  <si>
    <t>медикаменти 2019-n CoV, предмети матеріали обладнання (в т.ч. медичного) та інвентарю</t>
  </si>
  <si>
    <t>програма "СТОП ГРИП"</t>
  </si>
  <si>
    <t xml:space="preserve">хімреактиви, реагенти, тощо </t>
  </si>
  <si>
    <t xml:space="preserve">оплата електроенергії </t>
  </si>
  <si>
    <t xml:space="preserve">вивіз  сміття </t>
  </si>
  <si>
    <t>9.</t>
  </si>
  <si>
    <t>Кошти, отримані від реалізації в установленому порядку майна (крім нерухомого майна)</t>
  </si>
  <si>
    <t>9.1.</t>
  </si>
  <si>
    <t>9.1.1.</t>
  </si>
  <si>
    <t>10.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</si>
  <si>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</si>
  <si>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</si>
  <si>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</si>
  <si>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</si>
  <si>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</si>
  <si>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</si>
  <si>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t>кошти від реалізації продукції молочної кухні</t>
  </si>
  <si>
    <r>
      <t xml:space="preserve">кошти державного бюджету </t>
    </r>
    <r>
      <rPr>
        <i/>
        <sz val="14"/>
        <rFont val="Times New Roman"/>
        <family val="1"/>
        <charset val="204"/>
      </rPr>
      <t>(відшкодування лікарям-інтернам за проходження інтернатури</t>
    </r>
    <r>
      <rPr>
        <sz val="14"/>
        <rFont val="Times New Roman"/>
        <family val="1"/>
        <charset val="204"/>
      </rPr>
      <t>)</t>
    </r>
  </si>
  <si>
    <t>кошти, отримані від реалізації в установленому порядку майна (крім нерухомого майна)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</si>
  <si>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</si>
  <si>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</si>
  <si>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</si>
  <si>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</si>
  <si>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</si>
  <si>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</si>
  <si>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</si>
  <si>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</si>
  <si>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ремонт та технінче обслуговування ПК та оргтехніки</t>
  </si>
  <si>
    <t>ПДВ</t>
  </si>
  <si>
    <t xml:space="preserve">пільгова пенсія </t>
  </si>
  <si>
    <t xml:space="preserve">Генератор Covidian 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</si>
  <si>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Маяковського, 138</t>
  </si>
  <si>
    <t>12.</t>
  </si>
  <si>
    <t>Благодійна допомога в натуральній формі</t>
  </si>
  <si>
    <t xml:space="preserve">канцтовари, періодичні видання </t>
  </si>
  <si>
    <t>супровід програмного забезпечення, медіа-супровід, обслуговування сайту,кваліфікований електронний підпис</t>
  </si>
  <si>
    <t>13.</t>
  </si>
  <si>
    <t xml:space="preserve">Благодійна допомога в грошовому еквіваленті </t>
  </si>
  <si>
    <t>13.1.</t>
  </si>
  <si>
    <t>13.1.1.</t>
  </si>
  <si>
    <t xml:space="preserve">медикаменти та перевязувальні матеріали </t>
  </si>
  <si>
    <t xml:space="preserve">ремонт та технічне облсуговування ліфтів </t>
  </si>
  <si>
    <t xml:space="preserve">послуги  з навчання </t>
  </si>
  <si>
    <t>17.</t>
  </si>
  <si>
    <t>Нарахування амортизації на безоплатно отримані активи, усього, у т.ч.:</t>
  </si>
  <si>
    <t>17.1.1.</t>
  </si>
  <si>
    <t>нарахування амортизації на безоплатно отримані активи</t>
  </si>
  <si>
    <t>17.2.</t>
  </si>
  <si>
    <t>18.</t>
  </si>
  <si>
    <t>металобрухт</t>
  </si>
  <si>
    <t>5.</t>
  </si>
  <si>
    <t>5.1.</t>
  </si>
  <si>
    <t>5.1.1.</t>
  </si>
  <si>
    <t xml:space="preserve"> </t>
  </si>
  <si>
    <t>кошти Вінницької міської обєднаної територіальної громади (ВМТГ)</t>
  </si>
  <si>
    <t>Кошти бюджету ВМТГ</t>
  </si>
  <si>
    <t>інформаційно-консультаційні послуги</t>
  </si>
  <si>
    <t xml:space="preserve">Вертикальний підйомник для інвалідів та інших мало мобільних груп населення    </t>
  </si>
  <si>
    <t>паливно-мастильні метеріали</t>
  </si>
  <si>
    <t xml:space="preserve">науково-технічні роботи </t>
  </si>
  <si>
    <t xml:space="preserve">оцінка майна </t>
  </si>
  <si>
    <t xml:space="preserve">ремонт та технічне обслуговування авто </t>
  </si>
  <si>
    <t>публікація в газеті</t>
  </si>
  <si>
    <t>19.</t>
  </si>
  <si>
    <t>Дохід від курсової різниці на залишок коштів валютного рахунку</t>
  </si>
  <si>
    <t>курсова різниця</t>
  </si>
  <si>
    <t xml:space="preserve">лікарняні листи </t>
  </si>
  <si>
    <t>Кошти державного бюджету від Національної служби здоров'я України за рахунок залишку коштів на рахунок</t>
  </si>
  <si>
    <r>
      <t xml:space="preserve">Кошти від надання послуг з  немедичної діяльності </t>
    </r>
    <r>
      <rPr>
        <i/>
        <sz val="16"/>
        <rFont val="Times New Roman"/>
        <family val="1"/>
        <charset val="204"/>
      </rPr>
      <t>(платні палати, стажування інтернів)</t>
    </r>
  </si>
  <si>
    <t>Кошти від надання послуг з медичної діяльності, відшкодування від страхової компанії</t>
  </si>
  <si>
    <t xml:space="preserve">публікація в газеті </t>
  </si>
  <si>
    <t xml:space="preserve">курсова різниця </t>
  </si>
  <si>
    <t>кошти від надання послуг з  медичної діяльності, відшкодування від страхової компанії</t>
  </si>
  <si>
    <t>дохід від оприбуткування вторсировини (металобрухт, медичних відходів)</t>
  </si>
  <si>
    <t>профвнески</t>
  </si>
  <si>
    <t xml:space="preserve">страхування майна </t>
  </si>
  <si>
    <t>експертний висновок (доступність будівель)</t>
  </si>
  <si>
    <t>фотозйомка для Google Map</t>
  </si>
  <si>
    <t xml:space="preserve">ремонт та технічне обслуговування ліфтів </t>
  </si>
  <si>
    <t xml:space="preserve">відключення від системи газопостачання </t>
  </si>
  <si>
    <t xml:space="preserve">експертний висновок </t>
  </si>
  <si>
    <t xml:space="preserve">земельний податок </t>
  </si>
  <si>
    <t xml:space="preserve">послуги з захоронення мертвонародженого плоду </t>
  </si>
  <si>
    <t xml:space="preserve">харчування </t>
  </si>
  <si>
    <t>фотозйомка Google Map</t>
  </si>
  <si>
    <t xml:space="preserve">супровід програмного зебезпечення, медіа-супровід, обслуговування сайту, кваліфікований електронний підпис </t>
  </si>
  <si>
    <t xml:space="preserve">проведення наглядового аудиту сертифікації управління якістю </t>
  </si>
  <si>
    <t xml:space="preserve">Кошти, отримані від реалізації в установленому порядку майна (крім нерухомого майна)за рахунок минулих періодів </t>
  </si>
  <si>
    <t xml:space="preserve">вивіз сміття </t>
  </si>
  <si>
    <t>насос шприцевий BeneFusion (5 шт)</t>
  </si>
  <si>
    <t xml:space="preserve">шафа з вітриною 2,3*2,4*0,5          </t>
  </si>
  <si>
    <t xml:space="preserve">шафа універсальна 2-х секційна 2,0*1,0*0,45    </t>
  </si>
  <si>
    <t xml:space="preserve">шафа 2,3*1,05*0,6   </t>
  </si>
  <si>
    <t>шафа 2,3*1,2*0,6</t>
  </si>
  <si>
    <t xml:space="preserve">джерело безперебійного живлення Powercom Macan MAC OnLine                                </t>
  </si>
  <si>
    <t>шафа</t>
  </si>
  <si>
    <t xml:space="preserve">кухня ДСП з стіновою панеллю  </t>
  </si>
  <si>
    <t xml:space="preserve">кухонний гарнітур (стільниці з тумбами та мийками) </t>
  </si>
  <si>
    <t xml:space="preserve">апарат електрохірургічний "Фотек"     </t>
  </si>
  <si>
    <t xml:space="preserve">кольпоскоп МК-300 з відеосистемою       </t>
  </si>
  <si>
    <t xml:space="preserve">дозатор механічний одноканальний Proline 20-200 мкл.       </t>
  </si>
  <si>
    <t xml:space="preserve">стіл зі стільниці                                                                                                                                                                                       </t>
  </si>
  <si>
    <t xml:space="preserve">комплект: тумба з умивальником, дзеркало  </t>
  </si>
  <si>
    <t>ліжко 0,9*2,0 з каркасом металевий з ніжками (6 шт)</t>
  </si>
  <si>
    <t>матрац пружиний 0,9*2,0   (6 шт)</t>
  </si>
  <si>
    <t xml:space="preserve">мийка 0,57*0,445   </t>
  </si>
  <si>
    <t xml:space="preserve">стелаж трирівневий 1500*1000 з н/ж сталі       </t>
  </si>
  <si>
    <t xml:space="preserve">блендер BPAUN MQ5237BK  </t>
  </si>
  <si>
    <t xml:space="preserve">електрочайник Grunhelm                               </t>
  </si>
  <si>
    <t xml:space="preserve">пульт електронний для керування блоком тенів 7500Вт 3*400 в  </t>
  </si>
  <si>
    <t xml:space="preserve">тканеві ролети беста-міні (10 шт)    </t>
  </si>
  <si>
    <t xml:space="preserve">вертикальні жалюзі                                                                                                                                                                                      </t>
  </si>
  <si>
    <t>інформаційний стенд (6 шт)</t>
  </si>
  <si>
    <t xml:space="preserve">принтер А4 Epson 1-Series </t>
  </si>
  <si>
    <t xml:space="preserve">детектор індивідуального моніторингу ДТГ-4 (ДТУ)  </t>
  </si>
  <si>
    <t xml:space="preserve">вогнегасник ВП-5  (4 шт)        </t>
  </si>
  <si>
    <t xml:space="preserve">пральна машина Indesit IWUC 40851    </t>
  </si>
  <si>
    <t xml:space="preserve">бактерицидна лампа Bactosfera OBB 15                  </t>
  </si>
  <si>
    <t xml:space="preserve">компресорний небулайзер     </t>
  </si>
  <si>
    <t>тонометр педіатричний з трьома манжетами Little Doctor LD 80</t>
  </si>
  <si>
    <t xml:space="preserve">ваги електронні для новонароджених Momert 6475        </t>
  </si>
  <si>
    <t>відбійник</t>
  </si>
  <si>
    <t>пральна машина Indesit E2SC 2160 W UA</t>
  </si>
  <si>
    <t xml:space="preserve">ліжко лікарняне б/в           </t>
  </si>
  <si>
    <t xml:space="preserve">матрац Ех-2 0,8*1,9                           </t>
  </si>
  <si>
    <t xml:space="preserve">електрочайник Philips 1,5л 240 Вт </t>
  </si>
  <si>
    <t xml:space="preserve">електрочайник Holmer HKS (Скло) </t>
  </si>
  <si>
    <t xml:space="preserve">холодильник Delfa (white 89*49.5*46.5 см) (3 шт)   </t>
  </si>
  <si>
    <t xml:space="preserve">тумба приліжкова 0,6*0,5*0,6    (4шт)                               </t>
  </si>
  <si>
    <t>тумба приліжкова 0,67/0,6*0,5 (2 шт)</t>
  </si>
  <si>
    <t>балон для аргону   (3 шт)</t>
  </si>
  <si>
    <t>Інфузійний насос, aitecs DF-12M Open System (2 шт)</t>
  </si>
  <si>
    <t xml:space="preserve">Дефібрилятор Cardiolife TEC-5621, monitoring + manual/AED    </t>
  </si>
  <si>
    <t xml:space="preserve">Монітор пацієнта uMEC 10        </t>
  </si>
  <si>
    <t xml:space="preserve">STARLINK    </t>
  </si>
  <si>
    <t xml:space="preserve">Пульсоксиметр РМ-60  </t>
  </si>
  <si>
    <t xml:space="preserve">Датчик SpO2 512H для дітей багаторазовий до пульсоксиметра                                                                                                                                              </t>
  </si>
  <si>
    <t>Пульсоксиметр РМ-60  (2 шт)</t>
  </si>
  <si>
    <t>Холодильна шафа ХШВ Shine</t>
  </si>
  <si>
    <t>відшкодування коштів (згідно акту за результатами ревізії,  актів звірки та відшкодування оцінки майна )</t>
  </si>
  <si>
    <t>сурфактанти (куросурфи)</t>
  </si>
  <si>
    <t xml:space="preserve">Лічильник СЛ-1 лабараторний механічний </t>
  </si>
  <si>
    <t xml:space="preserve">JH-2001-36 (KCK-18) Коробка для стерилізації Schimmelbusch, 390*190мм                                                                                                                                   </t>
  </si>
  <si>
    <t xml:space="preserve">Штатив ШДВ-5Н-К </t>
  </si>
  <si>
    <t xml:space="preserve">Штатив ШДВ-5Р-К </t>
  </si>
  <si>
    <t xml:space="preserve">Апарат штучної вентиляції легенів Babylog 8000 (2 шт)    </t>
  </si>
  <si>
    <t xml:space="preserve">Інкубатор для новонароджених Isolette C 2000        </t>
  </si>
  <si>
    <t xml:space="preserve">Монітор фетальний Sonicaid TEAM DUO      </t>
  </si>
  <si>
    <t xml:space="preserve">Датчик S4-2 зі встановленою опцією для кардіологічних досліджень  </t>
  </si>
  <si>
    <t xml:space="preserve">Кошти орендарів (енергоносії) за рахунок запасів минулих періодів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</si>
  <si>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</si>
  <si>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2.1.</t>
  </si>
  <si>
    <t>2.1.2.</t>
  </si>
  <si>
    <t>2.1.3.</t>
  </si>
  <si>
    <t>3.1.</t>
  </si>
  <si>
    <t>4.1.</t>
  </si>
  <si>
    <t>4.1.2.</t>
  </si>
  <si>
    <t>4.1.3.</t>
  </si>
  <si>
    <t>4.2.</t>
  </si>
  <si>
    <t>4.2.1.</t>
  </si>
  <si>
    <t>5.1.2.</t>
  </si>
  <si>
    <t>6.</t>
  </si>
  <si>
    <t>6.1.</t>
  </si>
  <si>
    <t>6.1.1.</t>
  </si>
  <si>
    <t>10.1.</t>
  </si>
  <si>
    <t>10.1.1.</t>
  </si>
  <si>
    <t>11.1.1.</t>
  </si>
  <si>
    <t>12.1.</t>
  </si>
  <si>
    <t>12.1.1.</t>
  </si>
  <si>
    <t>15.</t>
  </si>
  <si>
    <t>15.1.</t>
  </si>
  <si>
    <t>16.</t>
  </si>
  <si>
    <t>16.1.</t>
  </si>
  <si>
    <t>17.1.2.</t>
  </si>
  <si>
    <t xml:space="preserve">Кошти бюджету ВМТГ за рахунок запасів минулих періодів </t>
  </si>
  <si>
    <t xml:space="preserve">Ноутбук Dell Latitude 3420 FHD i5 16G RAM, 512GO SSD, 4 cell battery, fingerprint reader </t>
  </si>
  <si>
    <t xml:space="preserve">Дефiбрилятор   </t>
  </si>
  <si>
    <t xml:space="preserve">Апарат УЗД з набором датчиків Ultrasound Versana Active                                                                                                                                                 </t>
  </si>
  <si>
    <t xml:space="preserve">Посібник англійська, іспанська, французька       </t>
  </si>
  <si>
    <t>Посібник англійська, французька</t>
  </si>
  <si>
    <t xml:space="preserve">Вентилятор підлоговий HausMark HSFM-1625WH/RC        </t>
  </si>
  <si>
    <t xml:space="preserve">Накопичувач HDD Seagate 1TB USB 3.0 2.5" Bacis (STJL1000400) Black                                                                                                                </t>
  </si>
  <si>
    <t xml:space="preserve">Мегафон (гучномовець)    </t>
  </si>
  <si>
    <t xml:space="preserve">Радіоприймач      </t>
  </si>
  <si>
    <t xml:space="preserve">Вогнегасник ВВК-1,4 плоске дно з кронштейнами     </t>
  </si>
  <si>
    <t xml:space="preserve">Монітор 21.5" LG 22EA430V-B           </t>
  </si>
  <si>
    <t xml:space="preserve">Холодильник AOV ACB-264SL., PQS E004/023      </t>
  </si>
  <si>
    <t>Носій вакцини UIFF AOV AFVC46 E004/050</t>
  </si>
  <si>
    <t xml:space="preserve">Генератор        </t>
  </si>
  <si>
    <t xml:space="preserve">Системний блок              </t>
  </si>
  <si>
    <t xml:space="preserve">Комплекс з погружним дренажним насосом та накопичувальною ємністю                                                                                                                                       </t>
  </si>
  <si>
    <t xml:space="preserve">Система рекуператор PRANA 200 з витяжним вентилятором     </t>
  </si>
  <si>
    <t xml:space="preserve">Ходулі для дорослих              </t>
  </si>
  <si>
    <t>Ходулі для дітей</t>
  </si>
  <si>
    <t xml:space="preserve">Візок складний        </t>
  </si>
  <si>
    <t>Трансформер жовтий (б/в)</t>
  </si>
  <si>
    <t xml:space="preserve">Кисневий концентратор (б/в)       </t>
  </si>
  <si>
    <t xml:space="preserve">Система розеток корпусних кисневих газових     </t>
  </si>
  <si>
    <t xml:space="preserve">Інвалідні крісла-коляски SOPUR ALLROUND  </t>
  </si>
  <si>
    <t xml:space="preserve">Інвалідні крісла-коляски DAAO Bock  </t>
  </si>
  <si>
    <t xml:space="preserve">Стілець металевий без спинки         </t>
  </si>
  <si>
    <t xml:space="preserve">Ліжко дитяче функціональне з матрацом    </t>
  </si>
  <si>
    <t xml:space="preserve">Ліжко функціональне з матрацом          </t>
  </si>
  <si>
    <t xml:space="preserve">Манеж дитячий      </t>
  </si>
  <si>
    <t xml:space="preserve">Кювез дитячий з підігрівом Babytherm 4200    </t>
  </si>
  <si>
    <t xml:space="preserve">Кювез дитячий з підігрівом M/WEYER      </t>
  </si>
  <si>
    <t xml:space="preserve">Неонатальний інкубатор з підігрівачем (Променеве тепло) </t>
  </si>
  <si>
    <t xml:space="preserve">Тумба прикроватна         </t>
  </si>
  <si>
    <t xml:space="preserve">Ліжко функціональне (операційне) Simpex Objekt    </t>
  </si>
  <si>
    <t xml:space="preserve">Кушетка Simpex Objekt         </t>
  </si>
  <si>
    <t xml:space="preserve">Система рентгенодіагностична JUMONG             </t>
  </si>
  <si>
    <t xml:space="preserve">Медичне електричне ліжко для пологів AD-1650     </t>
  </si>
  <si>
    <t xml:space="preserve">Насос шприцевий М300 </t>
  </si>
  <si>
    <t xml:space="preserve">Автомобіль б/в Chevrolet Chevy Silverado 3500 Duramax Ambulance  </t>
  </si>
  <si>
    <t>Крісло гінекологічне для породіллі</t>
  </si>
  <si>
    <t xml:space="preserve">Сфігмоманометр (дорослий), анероїд   </t>
  </si>
  <si>
    <t xml:space="preserve">Стетоскоп, бінауральний, повний   </t>
  </si>
  <si>
    <t xml:space="preserve">Ваги дитячі, пружинні, 5кг*25г     </t>
  </si>
  <si>
    <t xml:space="preserve">Стетоскоп фетальний Pinard    </t>
  </si>
  <si>
    <t xml:space="preserve">Матрас комфорт 90х190 см (98 шт)     </t>
  </si>
  <si>
    <t xml:space="preserve">фонтан </t>
  </si>
  <si>
    <t>Принтер Canon I-SENSYS MF 112</t>
  </si>
  <si>
    <t>Світильник операційний ЛЕД (2 шт)</t>
  </si>
  <si>
    <t>Фентальний монітор L8-P6-PRO</t>
  </si>
  <si>
    <t>Стетоскоп, бінауральний, повний   (24 шт)</t>
  </si>
  <si>
    <t>Сфігмоманометр (дорослий), анероїд   (8 шт)</t>
  </si>
  <si>
    <t>Кошти від надання послуг з медичної діяльності, відшкодування від страхової компанії (залишок минулих періодів)</t>
  </si>
  <si>
    <t>4.1.1</t>
  </si>
  <si>
    <t>4.1.4.</t>
  </si>
  <si>
    <t>4.1.5.</t>
  </si>
  <si>
    <t>4.2.2.</t>
  </si>
  <si>
    <t>4.3.</t>
  </si>
  <si>
    <t>4.3.1.</t>
  </si>
  <si>
    <t>6.2.</t>
  </si>
  <si>
    <t>3.1.1</t>
  </si>
  <si>
    <t>5.1.3.</t>
  </si>
  <si>
    <t>5.1.4.</t>
  </si>
  <si>
    <t>6.1.2.</t>
  </si>
  <si>
    <t>6.2.1.</t>
  </si>
  <si>
    <t>6.3.</t>
  </si>
  <si>
    <t>6.3.1.</t>
  </si>
  <si>
    <t>8.1.</t>
  </si>
  <si>
    <t>8.1.1.</t>
  </si>
  <si>
    <t>11.</t>
  </si>
  <si>
    <t>11.1.</t>
  </si>
  <si>
    <t>8.1.2.</t>
  </si>
  <si>
    <t>проведення наглядового аудиту сертифікації управління якістю</t>
  </si>
  <si>
    <t xml:space="preserve">адвокатські послуги </t>
  </si>
  <si>
    <t xml:space="preserve">оцінка приміщень </t>
  </si>
  <si>
    <t>оренда медичного обладнання</t>
  </si>
  <si>
    <r>
      <t xml:space="preserve">кошти від надання послуг з  немедичної діяльності </t>
    </r>
    <r>
      <rPr>
        <i/>
        <sz val="14"/>
        <rFont val="Times New Roman"/>
        <family val="1"/>
        <charset val="204"/>
      </rPr>
      <t xml:space="preserve"> (платні палати, стажування інтернів)</t>
    </r>
  </si>
  <si>
    <t>податок на землю</t>
  </si>
  <si>
    <t xml:space="preserve">відшкодування витрат на оплату праці за працевлаштувння внутрішньо переміщених осіб внаслідок проведення бойових дій під час воєнного стану в Україні </t>
  </si>
  <si>
    <t>адвокатські послуги</t>
  </si>
  <si>
    <t xml:space="preserve">податок на додану вартість </t>
  </si>
  <si>
    <t>ремонт приміщення</t>
  </si>
  <si>
    <t>Розшифровка до розділу  IV "Капітальні інвестиції" за джерелами надходження</t>
  </si>
  <si>
    <t>Факт 
за  2022 рік</t>
  </si>
  <si>
    <t>План 
на 2022 рік</t>
  </si>
  <si>
    <t>Факт                   за  2021 рік</t>
  </si>
  <si>
    <t>факт 
за 2022 рік</t>
  </si>
  <si>
    <t>план 
на 2022 рік</t>
  </si>
  <si>
    <t xml:space="preserve">Дефібрилятор - монітор BeneHeart D3 з функцією синхронізації </t>
  </si>
  <si>
    <t>Наркозні апарати</t>
  </si>
  <si>
    <t>Інкубатори відкриті  ATOM  Dual Incu</t>
  </si>
  <si>
    <t>Фетальний монітор для багатоплідної вагітності Cardio Care (2 шт)</t>
  </si>
  <si>
    <t>Монітор пацієнта (ЧСС, ЕКГ, АТ, SpO2)Mindray uMEC 10 (2 шт)</t>
  </si>
  <si>
    <t>Пульсоксиметр з неонатальним датчиком (3 шт)</t>
  </si>
  <si>
    <t>Автоматичний дозатор лікувальних речовин (9 шт)</t>
  </si>
  <si>
    <r>
      <t>Автоматичний дозатор лікувальних речовин</t>
    </r>
    <r>
      <rPr>
        <sz val="14"/>
        <color indexed="63"/>
        <rFont val="Courier New"/>
        <family val="3"/>
        <charset val="204"/>
      </rPr>
      <t xml:space="preserve"> </t>
    </r>
    <r>
      <rPr>
        <sz val="14"/>
        <color indexed="8"/>
        <rFont val="Times New Roman"/>
        <family val="1"/>
        <charset val="204"/>
      </rPr>
      <t xml:space="preserve">для застосування у новонароджених (8шт) </t>
    </r>
  </si>
  <si>
    <t>Система обігріву пацієнта на операційному столі (2 шт)</t>
  </si>
  <si>
    <t>Установка променевого тепла (2шт)</t>
  </si>
  <si>
    <t>Лампа фототерапії НО-АФ-LED (2шт)</t>
  </si>
  <si>
    <t>Ліжко- трансформер для пологів</t>
  </si>
  <si>
    <t>Апарат УЗД портативний для досліджень в акушерстві, гінекології та неонатології Philips CХ 50</t>
  </si>
  <si>
    <t>Тромбоеластограф або  гемовіскозиметр</t>
  </si>
  <si>
    <t>Cистема підігріву інфузійних середовищ (8 шт)</t>
  </si>
  <si>
    <t>Відкрита реанімаційна система Лелека (3 шт)</t>
  </si>
  <si>
    <t>Обладнання для проведення СРАР терапії з використанням Т-коннектора Неопуф (2 шт)</t>
  </si>
  <si>
    <t xml:space="preserve">Стійка для вертикальних знімків до пересувного рентгенівського апарату </t>
  </si>
  <si>
    <t xml:space="preserve">Електроенцефалограф телеметричний </t>
  </si>
  <si>
    <t>Транскутанний білірубінометр BILICARE</t>
  </si>
  <si>
    <t>Тробоеластограф або  гемовіскозиметр</t>
  </si>
  <si>
    <t>Факт                   за 2021 рік</t>
  </si>
  <si>
    <t>Факт 
за 2022 рік</t>
  </si>
  <si>
    <t xml:space="preserve">полімеразна ланцюгова реакція </t>
  </si>
  <si>
    <t xml:space="preserve">система відеонагляду </t>
  </si>
  <si>
    <t xml:space="preserve">Бойлер Thermex 100л.   </t>
  </si>
  <si>
    <t>Кондиціонер Rotex</t>
  </si>
  <si>
    <t>Кондиціонер Electrolux</t>
  </si>
  <si>
    <t xml:space="preserve">Морцелятор </t>
  </si>
  <si>
    <t xml:space="preserve">Powercom RPT-600A Schuko (ДБЖ)                   </t>
  </si>
  <si>
    <t xml:space="preserve">Столик для УЗД для дітей   </t>
  </si>
  <si>
    <t>диван</t>
  </si>
  <si>
    <t xml:space="preserve">стілець донорський </t>
  </si>
  <si>
    <t>м`який інвентар</t>
  </si>
  <si>
    <t xml:space="preserve">матрац б/н </t>
  </si>
  <si>
    <t xml:space="preserve">Тумба без дверцят (0,4*0,4*0,8) (2 шт)      </t>
  </si>
  <si>
    <t xml:space="preserve">Тумба з дверцятами та поличкою 0,75*0,5*0,4    </t>
  </si>
  <si>
    <t xml:space="preserve">Поличка (1,35*1,2*0,4)  </t>
  </si>
  <si>
    <t xml:space="preserve">Поличка (1,35*0,8*0,4)    </t>
  </si>
  <si>
    <t xml:space="preserve">Шафа на 5-ть поличок 2,45*0,9*0,4     </t>
  </si>
  <si>
    <t>вентилятор побутовий 100С1, 94м3/год Домовент (2шт)</t>
  </si>
  <si>
    <t xml:space="preserve">гігрометр ВІТ-Ш-2(+16+40С)ТУ З України 14307481.001-92 УКТЗЕД 9025808010 (5 шт)                                                                                                                                </t>
  </si>
  <si>
    <t xml:space="preserve">електричний чайник Grunhelm (35 шт)   </t>
  </si>
  <si>
    <t>мікрохвильова піч Delfa AMW-20MB (5 шт)</t>
  </si>
  <si>
    <t xml:space="preserve">Мікрохвильова піч Gorenje MO20E1B    </t>
  </si>
  <si>
    <t>стілець Аскона (чорний)  (20 шт)</t>
  </si>
  <si>
    <t xml:space="preserve">Електрочайник KHATA Plus                 </t>
  </si>
  <si>
    <t xml:space="preserve">Електрочайник Delfa </t>
  </si>
  <si>
    <t xml:space="preserve">Електрочайник Ardesto EKL-F110 </t>
  </si>
  <si>
    <t xml:space="preserve">телефоний апарат Astro A169 (14 шт)         </t>
  </si>
  <si>
    <t xml:space="preserve">протипролежневий масажний матрац (2 шт)   </t>
  </si>
  <si>
    <t xml:space="preserve">принтер Canon i-SENSYS MF3010+usb   </t>
  </si>
  <si>
    <t xml:space="preserve">холодильник Elenberg MR (2 шт)  </t>
  </si>
  <si>
    <t xml:space="preserve">смітник декоративний з мармуровою крихтою 400х400х630 в комплекті з відром (6 шт)                                                                                                                              </t>
  </si>
  <si>
    <t>капітальний ремонт благоустрою території комунального некомерційного підприємства "Центр матері та дитини" по вул. Маяковського,138 в м.Вінниці</t>
  </si>
  <si>
    <t xml:space="preserve">запчастини до медичного обладнання </t>
  </si>
  <si>
    <t xml:space="preserve">ремонт приміщення </t>
  </si>
  <si>
    <t xml:space="preserve">оцінка прміщення </t>
  </si>
  <si>
    <t>експертний висновок</t>
  </si>
  <si>
    <t xml:space="preserve">ремонт та технічне обслуговувння авто </t>
  </si>
  <si>
    <t>повірка немедичного обладання</t>
  </si>
  <si>
    <t>Дохід від оприбуткування вторсировини (металобрухт)</t>
  </si>
  <si>
    <t>Відшкодування коштів (згідно актів за результатами ревізії, та акту звірки)</t>
  </si>
  <si>
    <t xml:space="preserve">дохід від курсової різниці </t>
  </si>
  <si>
    <t>запчастини до медичного обладнання</t>
  </si>
  <si>
    <t xml:space="preserve">інформаційно-консультаційні послуги </t>
  </si>
  <si>
    <t>за  2021 рік</t>
  </si>
  <si>
    <t>за 2022 рік</t>
  </si>
  <si>
    <t>Звітний за 2022 рік</t>
  </si>
  <si>
    <t>інші податки, збори та платежі (профвнески)</t>
  </si>
  <si>
    <t>2022 рік</t>
  </si>
  <si>
    <t xml:space="preserve">2021 рік </t>
  </si>
  <si>
    <t xml:space="preserve">Тумба під умивальник 55 см  </t>
  </si>
  <si>
    <t xml:space="preserve">Тумба під умивальник 70 см </t>
  </si>
  <si>
    <t xml:space="preserve">Дзеркало 55 см              </t>
  </si>
  <si>
    <t>Бойлер 100 л. 1,5 кВт ARISTON</t>
  </si>
  <si>
    <t xml:space="preserve">Сушарка електрична Класик П8 500*800 </t>
  </si>
  <si>
    <t xml:space="preserve">Матрац Sogum MS-50     </t>
  </si>
  <si>
    <t xml:space="preserve">Дозатор одноканальний змінного об'єму Sartorius 20-200  </t>
  </si>
  <si>
    <t xml:space="preserve">Матрац віскоеластичний HillRom NP150 </t>
  </si>
  <si>
    <t>Apple IPAD 10.2 64 GB для збору та моніторингу даних, оснащений базою даних Memento</t>
  </si>
  <si>
    <t xml:space="preserve">Тестер HAB Pro 2 "Point of care" для вимірювання лактату в пуповинній крові після пологів </t>
  </si>
  <si>
    <t>Шафа в роздягальню 3-х дверна  (2 шт)</t>
  </si>
  <si>
    <t>Монітори артеріального тиску АРЕС на батарейках, для надання допомоги при прееклампсії та шоку (5 шт)</t>
  </si>
  <si>
    <t xml:space="preserve">Інкубатор для немовлят Erlunc Ozcan Magic Loggia M   </t>
  </si>
  <si>
    <t>Інкубатор для новонароджених / Інкубатор для новонароджених Air Incu I</t>
  </si>
  <si>
    <t>Пристрій для обігріву новонароджених / Пристрій для обігріву новонароджених марки Drager, mod. Resuscitaire</t>
  </si>
  <si>
    <t xml:space="preserve">ATOM INFANT INCUBATOR </t>
  </si>
  <si>
    <t xml:space="preserve">Реабілітаційний стіл з електричним регулюванням висоти SR-3E </t>
  </si>
  <si>
    <t xml:space="preserve">Пристрій реабілітаційний ДАЛМАТИН ІНВЕНТО розмір 1      </t>
  </si>
  <si>
    <t xml:space="preserve">Монітор електрокардіосигналів добовий SDM 3   </t>
  </si>
  <si>
    <t xml:space="preserve">Електрокардіограф ЮКАРД 100 з пристроєм прийому/передачі даних   </t>
  </si>
  <si>
    <t xml:space="preserve">Медичне ліжко Hill-Rom AvantGuard 1200 </t>
  </si>
  <si>
    <t xml:space="preserve">Апарат УЗД з набором датчиків Ultrasound Versana Active </t>
  </si>
  <si>
    <t xml:space="preserve">Відсмоктувач хірургічний (Аспіратор) з контейнером багаторазового використання </t>
  </si>
  <si>
    <t xml:space="preserve">Авторефкератометр LUCID-KR з сенсорним екраном       </t>
  </si>
  <si>
    <t xml:space="preserve">Цифрова мамографічна система Amulet Innovality (FDR MS-3500)    </t>
  </si>
  <si>
    <t xml:space="preserve">ZUG пульсоксиметр                                                                                                                                                                                       </t>
  </si>
  <si>
    <t xml:space="preserve">Акумуляторні ультразвукові датчики SD3, що працюють від батарейок, для прослуховування частоти серцевих скорочень плода під час пологів                                                                 </t>
  </si>
  <si>
    <t>Портативний акушерський ультразвуковий сканер</t>
  </si>
  <si>
    <t xml:space="preserve">Апарат штучної вентиляції легень Savina 300    </t>
  </si>
  <si>
    <t xml:space="preserve">Дзеркало коригуюче для реабілітації одинарне L-01 </t>
  </si>
  <si>
    <t xml:space="preserve">Приліжковий монітор пацієнта CSM-1502   </t>
  </si>
  <si>
    <t xml:space="preserve">Датчик мікроконвексний внутрішньопорожнинний Е8Сs-RS </t>
  </si>
  <si>
    <t xml:space="preserve">Датчик секторний фазований 12S-RS           </t>
  </si>
  <si>
    <t>Монітор пацієнта мультипараметровий BREGHTFIELD HEALTHCARE V12</t>
  </si>
  <si>
    <t>Фетальний монітор ТЕАМЗА, антенатальний</t>
  </si>
  <si>
    <t xml:space="preserve">Кабіна для підвісної терапії WSC-4 (в комплекті набір аксесуарів повний, рельса з кронштейном для клітки реабілітаційної WSC-4 та розвантажувальна система "Павук")   </t>
  </si>
  <si>
    <t xml:space="preserve">Система ендоскопічної візуалізації в комплекті </t>
  </si>
  <si>
    <t xml:space="preserve">Апарат наркозно-дихальний Primus   </t>
  </si>
  <si>
    <t xml:space="preserve">Пристрій для фототерапії новонароджених НО-АФ-LED   </t>
  </si>
  <si>
    <t>Інкубатор для новонароджених / MOM Essebtial Incubator Ukraina Editlon-ME1-UA-UK, 1 (4 шт)</t>
  </si>
  <si>
    <t xml:space="preserve">Підігрівач інфузійних розчинів та крові FT800                                                                                                                                                           </t>
  </si>
  <si>
    <t>OXYGEN CONCENTRATOR, KSOC-5, Single Flow, 10 L/mi, 110V 60Hz</t>
  </si>
  <si>
    <t xml:space="preserve">Інкубатор / Неонатальний інкубатор марки Dalex Ohmega, mod. Giraffe  (4 шт)                            </t>
  </si>
  <si>
    <t xml:space="preserve">Інкубатор для новонароджених / MOM Essebtial Incubator Ukraina Editlon-ME1-UA-UK, 1                                                                                                                     </t>
  </si>
  <si>
    <t>Система розеток корпусних кисневих газових</t>
  </si>
  <si>
    <t xml:space="preserve">Стетоскоп зі змінними діафрагмами, чорний </t>
  </si>
  <si>
    <t xml:space="preserve">Стетоскоп з нержавіючої сталі  </t>
  </si>
  <si>
    <t xml:space="preserve">Інгалятор LITTLE DOCTOR LD-250U       </t>
  </si>
  <si>
    <t>Інвертор для медичного обладнання Портативний 14 кг, для підтримки обладнання, що працює від акумуляторів</t>
  </si>
  <si>
    <t xml:space="preserve">Відсмоктувач медичний "Біомед",модель 7Е-В </t>
  </si>
  <si>
    <t>Холодильна шафа ХШВ Shine (2 шт)</t>
  </si>
  <si>
    <t xml:space="preserve">JH-2001-36 (KCK-18) Коробка для стерилізації Schimmelbusch, 390*190мм (10 шт)                                                                                                                                  </t>
  </si>
  <si>
    <t xml:space="preserve">Штатив ШДВ-5Н-К  (10 шт)  </t>
  </si>
  <si>
    <t xml:space="preserve">Штатив ШДВ-5Р-К  (10 шт)  </t>
  </si>
  <si>
    <t xml:space="preserve">Посібник англійська, іспанська, французька (6 шт)      </t>
  </si>
  <si>
    <t xml:space="preserve">Радіоприймач (2 шт)     </t>
  </si>
  <si>
    <t xml:space="preserve">Кювез дитячий з підігрівом M/WEYER  (6 шт)    </t>
  </si>
  <si>
    <t xml:space="preserve">Кювез дитячий з підігрівом Babytherm 4200 (3 шт)   </t>
  </si>
  <si>
    <t>Інвалідні крісла-коляски DAAO Bock  (2 шт)</t>
  </si>
  <si>
    <t>Інвалідні крісла-коляски SOPUR ALLROUND  (2 шт)</t>
  </si>
  <si>
    <t>Матрас комфорт 90х190 см      (86 шт)</t>
  </si>
  <si>
    <t xml:space="preserve">Кисневий концентратор (б/в) (2 шт)      </t>
  </si>
  <si>
    <t xml:space="preserve">Візок складний (2 шт)       </t>
  </si>
  <si>
    <t xml:space="preserve">Системний блок   (2 шт)           </t>
  </si>
  <si>
    <t>Неонатальний інкубатор з підігрівачем (Променеве тепло) (2 шт)</t>
  </si>
  <si>
    <t xml:space="preserve">Тумба прикроватна (6 шт)        </t>
  </si>
  <si>
    <t>Крісло гінекологічне для породіллі (2 шт)</t>
  </si>
  <si>
    <t xml:space="preserve">Ваги дитячі, пружинні, 5кг*25г (8 шт)    </t>
  </si>
  <si>
    <t xml:space="preserve">Стетоскоп фетальний Pinard (16 шт)   </t>
  </si>
  <si>
    <t>Слінг для використання зі скалою  (40 шт)</t>
  </si>
  <si>
    <t>Вимірювач артеріального тиску механічний ВК2001-3001 у комплекті зі стетоскопом, манометром та манжетою стандартною (2 шт)</t>
  </si>
  <si>
    <t>Стетоскоп акушерський (3 шт)</t>
  </si>
  <si>
    <t>Прилад для реанімації багаторазового використання ( ручний ап-т д/штучної вентиляції легень дорослий)  (2 шт)</t>
  </si>
  <si>
    <t xml:space="preserve">Акумуляторні налобні ліхтарики Ledlenser H8R для хірургічних операцій у разі відключення електрики  (3 шт)                                                                                                    </t>
  </si>
  <si>
    <t>Інші джерела (НСЗУ, гуманітарна допомога)</t>
  </si>
  <si>
    <t>Капітальний ремонт</t>
  </si>
  <si>
    <t xml:space="preserve">визначення витрат палива </t>
  </si>
  <si>
    <t xml:space="preserve">утилізація </t>
  </si>
  <si>
    <t xml:space="preserve">визначення вологості повітря </t>
  </si>
  <si>
    <t xml:space="preserve">перевірка електробезпеки </t>
  </si>
  <si>
    <t xml:space="preserve">адмінністративний збір </t>
  </si>
  <si>
    <t>медикаменти та перев'язувальні матеріали (війна)</t>
  </si>
  <si>
    <t>7.</t>
  </si>
  <si>
    <t>7.1.</t>
  </si>
  <si>
    <t>7.1.1.</t>
  </si>
  <si>
    <t>7.1.2.</t>
  </si>
  <si>
    <t>8.1.3.</t>
  </si>
  <si>
    <t>8.1.4.</t>
  </si>
  <si>
    <t>8.2.</t>
  </si>
  <si>
    <t>8.2.1</t>
  </si>
  <si>
    <t>5.2.</t>
  </si>
  <si>
    <t>5.2.1</t>
  </si>
  <si>
    <t>14.1.</t>
  </si>
  <si>
    <t>14.1.1.</t>
  </si>
  <si>
    <t>14.2.</t>
  </si>
  <si>
    <t>14.2.1</t>
  </si>
  <si>
    <t>15.1.1</t>
  </si>
  <si>
    <t>16.1.1</t>
  </si>
  <si>
    <t>16.1.2.</t>
  </si>
  <si>
    <t>16.2</t>
  </si>
  <si>
    <t>16.2.1.</t>
  </si>
  <si>
    <t>16.3.</t>
  </si>
  <si>
    <t>16.3.1</t>
  </si>
  <si>
    <t>17.1</t>
  </si>
  <si>
    <t>17.1.3.</t>
  </si>
  <si>
    <t>17.2.1</t>
  </si>
  <si>
    <t>17.2.2.</t>
  </si>
  <si>
    <t>19.1.</t>
  </si>
  <si>
    <t>19.1.1.</t>
  </si>
  <si>
    <t>20.</t>
  </si>
  <si>
    <t>20.1.</t>
  </si>
  <si>
    <t>Розшифровка до розділу  ІІІ "Рух грошових коштів (за прямим методом)"</t>
  </si>
  <si>
    <t>Факт 2021 року</t>
  </si>
  <si>
    <t>План 2022 року</t>
  </si>
  <si>
    <t>Факт 2022 року</t>
  </si>
  <si>
    <t>відхилення,
%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</si>
  <si>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</si>
  <si>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</si>
  <si>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</si>
  <si>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Цільове фінансуванн, усього, у тому числі:</t>
  </si>
  <si>
    <t>Інші надходження, усього, у тому числі:</t>
  </si>
  <si>
    <t>Видатки грошових коштів від операційної діяльності</t>
  </si>
  <si>
    <t>II. Рух коштів у результаті інвестиційної діяльності</t>
  </si>
  <si>
    <t xml:space="preserve">Надходження грошових коштів від інвестиційної діяльності </t>
  </si>
  <si>
    <t xml:space="preserve">Видатки грошових коштів від інвестиційної діяльності </t>
  </si>
  <si>
    <t>Витрачання на придбання необоротних активів, у тому числі:</t>
  </si>
  <si>
    <t>придбання (виготовлення) основних засобів,  усього, у тому числі:</t>
  </si>
  <si>
    <t>придбання (виготовлення) інших необоротних матеріальних активів, усього, у тому числі:</t>
  </si>
  <si>
    <t xml:space="preserve">капітальний ремонт, усього, у тому числі: 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</si>
  <si>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</si>
  <si>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</si>
  <si>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 xml:space="preserve">Видатки грошових коштів від фінансової діяльності </t>
  </si>
  <si>
    <t xml:space="preserve">кошти медичної субвенції з державного бюджету </t>
  </si>
  <si>
    <t>дохід від оприбуткування вторсировини (металобрухт)</t>
  </si>
  <si>
    <t>відшкодування коштів (згідно акту за результатами ревізії, та акту звірки)</t>
  </si>
  <si>
    <t xml:space="preserve">надходження від відсотків за залишками коштів на депозитних рахунках </t>
  </si>
  <si>
    <t xml:space="preserve">виконавчі листи та аліменти </t>
  </si>
  <si>
    <t xml:space="preserve">видатки від курсової різниці </t>
  </si>
  <si>
    <t>Розділ ІІІ. Рух грошових коштів</t>
  </si>
  <si>
    <t xml:space="preserve">Надходження грошових коштів від операційної діяльності </t>
  </si>
  <si>
    <t>Цільове фінансування  (розшифрувати)</t>
  </si>
  <si>
    <t>Надходження від відсотків за залишками коштів на поточних рахунках</t>
  </si>
  <si>
    <r>
      <t>Інші надходження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</si>
  <si>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</si>
  <si>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</si>
  <si>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</si>
  <si>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додану вартість</t>
  </si>
  <si>
    <t xml:space="preserve">єдиний внесок на загальнообов'язкове державне соціальне страхування    </t>
  </si>
  <si>
    <t>інші платежі (розшифрувати)</t>
  </si>
  <si>
    <t>Чистий рух коштів від операційної діяльності</t>
  </si>
  <si>
    <t xml:space="preserve">Інші надходження (розшифрувати) </t>
  </si>
  <si>
    <t>Чистий рух коштів від інвестиційної діяльності </t>
  </si>
  <si>
    <t>Надходження від власного капіталу</t>
  </si>
  <si>
    <t>Надходження від отримання позик/кредитів/облігацій/векселів</t>
  </si>
  <si>
    <t>Витрачання на погашення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</si>
  <si>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</si>
  <si>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</si>
  <si>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Чистий рух коштів від фінансової діяльності </t>
  </si>
  <si>
    <t>Чистий грошовий потік</t>
  </si>
  <si>
    <t>Залишок коштів на початок року</t>
  </si>
  <si>
    <t>Залишок коштів на кінець року</t>
  </si>
  <si>
    <t xml:space="preserve">Володимир ПРИСЯЖНЮК </t>
  </si>
  <si>
    <t xml:space="preserve">дезінфекція/дезинсекція/дератизація </t>
  </si>
  <si>
    <t>утилізація</t>
  </si>
  <si>
    <t xml:space="preserve">дератизація/дезинфекція/дезинсекція </t>
  </si>
  <si>
    <t>супровід програмного забезпечення, медіа-супровід, обслуговування сайту</t>
  </si>
  <si>
    <t xml:space="preserve">37,8 було в 9 місяців </t>
  </si>
  <si>
    <t>в 2022 році розбито на адв. і інформ.посл</t>
  </si>
  <si>
    <t>в 9 місяців було 49,9 (в т.ч. ІНМА)</t>
  </si>
  <si>
    <t xml:space="preserve">в 2022 перенесено в капи </t>
  </si>
  <si>
    <t>оприбуткування дорогоцінного металу з металобрухту</t>
  </si>
  <si>
    <t>пільгова пенсія</t>
  </si>
  <si>
    <t xml:space="preserve">адміністративний збір </t>
  </si>
  <si>
    <t>14.</t>
  </si>
  <si>
    <t>1.3.4</t>
  </si>
  <si>
    <t>продукти харчування</t>
  </si>
  <si>
    <t>Кошти субвенції з державного</t>
  </si>
  <si>
    <t>18.1</t>
  </si>
  <si>
    <t>18.1.1</t>
  </si>
  <si>
    <t>20.1.1</t>
  </si>
  <si>
    <t>21.</t>
  </si>
  <si>
    <t>Відшкодування витрат на оплату праці за працевлаштувння внутрішньо переміщених осіб внаслідок проведення бойових дій під час воєнного стану в Україні</t>
  </si>
  <si>
    <t>21.1</t>
  </si>
  <si>
    <t>21.1.1</t>
  </si>
  <si>
    <t>21.1.2</t>
  </si>
  <si>
    <t>22.</t>
  </si>
  <si>
    <t>22.1</t>
  </si>
  <si>
    <t>22.1.1.</t>
  </si>
  <si>
    <t>22.2</t>
  </si>
  <si>
    <t>22.1.2</t>
  </si>
  <si>
    <t xml:space="preserve"> (ініціали, прізвище)</t>
  </si>
  <si>
    <t>Директор КНП "ВМКЛ "ЦМ та"Д"</t>
  </si>
  <si>
    <t>Директор КНП "ВМКЛ"ЦМтаД"</t>
  </si>
  <si>
    <t xml:space="preserve">ЗВІТ
 про виконання показників фінансового плану комунального некомерційного підприємства                                                                                                     "Вінницька міська клінічна лікарня"Центр матері та дитини"
за 2022 рік   </t>
  </si>
  <si>
    <t xml:space="preserve">Відшкодування витрат на оплату праці за працевлаштувння внутрішньо переміщених осіб внаслідок проведення бойових дій під час воєнного стану в Україні </t>
  </si>
  <si>
    <r>
      <t>Директор НКП</t>
    </r>
    <r>
      <rPr>
        <u/>
        <sz val="16"/>
        <color theme="1"/>
        <rFont val="Times New Roman"/>
        <family val="1"/>
        <charset val="204"/>
      </rPr>
      <t xml:space="preserve"> </t>
    </r>
    <r>
      <rPr>
        <b/>
        <u/>
        <sz val="16"/>
        <color theme="1"/>
        <rFont val="Times New Roman"/>
        <family val="1"/>
        <charset val="204"/>
      </rPr>
      <t>"ВМКЛ"ЦМтаД"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</si>
</sst>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3" formatCode="_-* #,##0.00\ _₴_-;\-* #,##0.00\ _₴_-;_-* &quot;-&quot;??\ _₴_-;_-@_-"/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(* #,##0.0_);_(* \(#,##0.0\);_(* &quot;-&quot;??_);_(@_)"/>
    <numFmt numFmtId="181" formatCode="_-* #,##0.0_р_._-;\-* #,##0.0_р_._-;_-* &quot;-&quot;?_р_._-;_-@_-"/>
  </numFmts>
  <fonts count="100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b/>
      <i/>
      <sz val="14"/>
      <name val="Times New Roman"/>
      <family val="1"/>
      <charset val="204"/>
    </font>
    <font>
      <i/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indexed="63"/>
      <name val="Courier New"/>
      <family val="3"/>
      <charset val="204"/>
    </font>
    <font>
      <sz val="14"/>
      <color indexed="8"/>
      <name val="Times New Roman"/>
      <family val="1"/>
      <charset val="204"/>
    </font>
    <font>
      <i/>
      <sz val="14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i/>
      <sz val="13"/>
      <color theme="1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b/>
      <sz val="9"/>
      <color indexed="81"/>
      <name val="Tahoma"/>
      <charset val="1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sz val="13"/>
      <color theme="0"/>
      <name val="Times New Roman"/>
      <family val="1"/>
      <charset val="204"/>
    </font>
    <font>
      <i/>
      <sz val="13"/>
      <color theme="0"/>
      <name val="Times New Roman"/>
      <family val="1"/>
      <charset val="204"/>
    </font>
    <font>
      <b/>
      <i/>
      <sz val="13"/>
      <color theme="0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56"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5" fillId="2" borderId="0" applyNumberFormat="0" applyBorder="0" applyAlignment="0" applyProtection="0"/>
    <xf numFmtId="0" fontId="2" fillId="2" borderId="0" applyNumberFormat="0" applyBorder="0" applyAlignment="0" applyProtection="0"/>
    <xf numFmtId="0" fontId="25" fillId="3" borderId="0" applyNumberFormat="0" applyBorder="0" applyAlignment="0" applyProtection="0"/>
    <xf numFmtId="0" fontId="2" fillId="3" borderId="0" applyNumberFormat="0" applyBorder="0" applyAlignment="0" applyProtection="0"/>
    <xf numFmtId="0" fontId="25" fillId="4" borderId="0" applyNumberFormat="0" applyBorder="0" applyAlignment="0" applyProtection="0"/>
    <xf numFmtId="0" fontId="2" fillId="4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6" borderId="0" applyNumberFormat="0" applyBorder="0" applyAlignment="0" applyProtection="0"/>
    <xf numFmtId="0" fontId="2" fillId="6" borderId="0" applyNumberFormat="0" applyBorder="0" applyAlignment="0" applyProtection="0"/>
    <xf numFmtId="0" fontId="2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9" borderId="0" applyNumberFormat="0" applyBorder="0" applyAlignment="0" applyProtection="0"/>
    <xf numFmtId="0" fontId="2" fillId="9" borderId="0" applyNumberFormat="0" applyBorder="0" applyAlignment="0" applyProtection="0"/>
    <xf numFmtId="0" fontId="25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6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9" borderId="0" applyNumberFormat="0" applyBorder="0" applyAlignment="0" applyProtection="0"/>
    <xf numFmtId="0" fontId="8" fillId="9" borderId="0" applyNumberFormat="0" applyBorder="0" applyAlignment="0" applyProtection="0"/>
    <xf numFmtId="0" fontId="26" fillId="10" borderId="0" applyNumberFormat="0" applyBorder="0" applyAlignment="0" applyProtection="0"/>
    <xf numFmtId="0" fontId="8" fillId="10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9" fillId="3" borderId="0" applyNumberFormat="0" applyBorder="0" applyAlignment="0" applyProtection="0"/>
    <xf numFmtId="0" fontId="11" fillId="20" borderId="1" applyNumberFormat="0" applyAlignment="0" applyProtection="0"/>
    <xf numFmtId="0" fontId="16" fillId="21" borderId="2" applyNumberFormat="0" applyAlignment="0" applyProtection="0"/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168" fontId="6" fillId="0" borderId="0" applyFont="0" applyFill="0" applyBorder="0" applyAlignment="0" applyProtection="0"/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0" fontId="20" fillId="0" borderId="0" applyNumberFormat="0" applyFill="0" applyBorder="0" applyAlignment="0" applyProtection="0"/>
    <xf numFmtId="171" fontId="28" fillId="0" borderId="0" applyAlignment="0">
      <alignment wrapText="1"/>
    </xf>
    <xf numFmtId="0" fontId="23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9" fillId="7" borderId="1" applyNumberFormat="0" applyAlignment="0" applyProtection="0"/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30" fillId="22" borderId="7">
      <alignment horizontal="left" vertical="center"/>
      <protection locked="0"/>
    </xf>
    <xf numFmtId="49" fontId="30" fillId="22" borderId="7">
      <alignment horizontal="left" vertical="center"/>
    </xf>
    <xf numFmtId="4" fontId="30" fillId="22" borderId="7">
      <alignment horizontal="right" vertical="center"/>
      <protection locked="0"/>
    </xf>
    <xf numFmtId="4" fontId="30" fillId="22" borderId="7">
      <alignment horizontal="right" vertical="center"/>
    </xf>
    <xf numFmtId="4" fontId="31" fillId="22" borderId="7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4" fillId="22" borderId="3">
      <alignment horizontal="righ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</xf>
    <xf numFmtId="49" fontId="27" fillId="22" borderId="3">
      <alignment horizontal="left" vertical="center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</xf>
    <xf numFmtId="4" fontId="27" fillId="22" borderId="3">
      <alignment horizontal="right" vertical="center"/>
    </xf>
    <xf numFmtId="4" fontId="31" fillId="22" borderId="3">
      <alignment horizontal="righ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" fontId="38" fillId="0" borderId="3">
      <alignment horizontal="right" vertical="center"/>
      <protection locked="0"/>
    </xf>
    <xf numFmtId="4" fontId="38" fillId="0" borderId="3">
      <alignment horizontal="right" vertical="center"/>
    </xf>
    <xf numFmtId="4" fontId="39" fillId="0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9" fontId="38" fillId="0" borderId="3">
      <alignment horizontal="left" vertical="center"/>
      <protection locked="0"/>
    </xf>
    <xf numFmtId="49" fontId="39" fillId="0" borderId="3">
      <alignment horizontal="left" vertical="center"/>
      <protection locked="0"/>
    </xf>
    <xf numFmtId="4" fontId="38" fillId="0" borderId="3">
      <alignment horizontal="right" vertical="center"/>
      <protection locked="0"/>
    </xf>
    <xf numFmtId="0" fontId="21" fillId="0" borderId="8" applyNumberFormat="0" applyFill="0" applyAlignment="0" applyProtection="0"/>
    <xf numFmtId="0" fontId="18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Fill="0" applyAlignment="0">
      <alignment horizontal="center"/>
      <protection locked="0"/>
    </xf>
    <xf numFmtId="0" fontId="3" fillId="25" borderId="9" applyNumberFormat="0" applyFont="0" applyAlignment="0" applyProtection="0"/>
    <xf numFmtId="4" fontId="42" fillId="26" borderId="3">
      <alignment horizontal="right" vertical="center"/>
      <protection locked="0"/>
    </xf>
    <xf numFmtId="4" fontId="42" fillId="27" borderId="3">
      <alignment horizontal="right" vertical="center"/>
      <protection locked="0"/>
    </xf>
    <xf numFmtId="4" fontId="42" fillId="28" borderId="3">
      <alignment horizontal="right" vertical="center"/>
      <protection locked="0"/>
    </xf>
    <xf numFmtId="0" fontId="10" fillId="20" borderId="10" applyNumberFormat="0" applyAlignment="0" applyProtection="0"/>
    <xf numFmtId="49" fontId="27" fillId="0" borderId="3">
      <alignment horizontal="left" vertical="center" wrapText="1"/>
      <protection locked="0"/>
    </xf>
    <xf numFmtId="49" fontId="27" fillId="0" borderId="3">
      <alignment horizontal="left" vertical="center" wrapText="1"/>
      <protection locked="0"/>
    </xf>
    <xf numFmtId="0" fontId="17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6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17" borderId="0" applyNumberFormat="0" applyBorder="0" applyAlignment="0" applyProtection="0"/>
    <xf numFmtId="0" fontId="8" fillId="17" borderId="0" applyNumberFormat="0" applyBorder="0" applyAlignment="0" applyProtection="0"/>
    <xf numFmtId="0" fontId="26" fillId="18" borderId="0" applyNumberFormat="0" applyBorder="0" applyAlignment="0" applyProtection="0"/>
    <xf numFmtId="0" fontId="8" fillId="18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9" borderId="0" applyNumberFormat="0" applyBorder="0" applyAlignment="0" applyProtection="0"/>
    <xf numFmtId="0" fontId="8" fillId="19" borderId="0" applyNumberFormat="0" applyBorder="0" applyAlignment="0" applyProtection="0"/>
    <xf numFmtId="0" fontId="43" fillId="7" borderId="1" applyNumberFormat="0" applyAlignment="0" applyProtection="0"/>
    <xf numFmtId="0" fontId="9" fillId="7" borderId="1" applyNumberFormat="0" applyAlignment="0" applyProtection="0"/>
    <xf numFmtId="0" fontId="44" fillId="20" borderId="10" applyNumberFormat="0" applyAlignment="0" applyProtection="0"/>
    <xf numFmtId="0" fontId="10" fillId="20" borderId="10" applyNumberFormat="0" applyAlignment="0" applyProtection="0"/>
    <xf numFmtId="0" fontId="45" fillId="20" borderId="1" applyNumberFormat="0" applyAlignment="0" applyProtection="0"/>
    <xf numFmtId="0" fontId="11" fillId="20" borderId="1" applyNumberFormat="0" applyAlignment="0" applyProtection="0"/>
    <xf numFmtId="172" fontId="6" fillId="0" borderId="0" applyFont="0" applyFill="0" applyBorder="0" applyAlignment="0" applyProtection="0"/>
    <xf numFmtId="0" fontId="46" fillId="0" borderId="4" applyNumberFormat="0" applyFill="0" applyAlignment="0" applyProtection="0"/>
    <xf numFmtId="0" fontId="12" fillId="0" borderId="4" applyNumberFormat="0" applyFill="0" applyAlignment="0" applyProtection="0"/>
    <xf numFmtId="0" fontId="47" fillId="0" borderId="5" applyNumberFormat="0" applyFill="0" applyAlignment="0" applyProtection="0"/>
    <xf numFmtId="0" fontId="13" fillId="0" borderId="5" applyNumberFormat="0" applyFill="0" applyAlignment="0" applyProtection="0"/>
    <xf numFmtId="0" fontId="48" fillId="0" borderId="6" applyNumberFormat="0" applyFill="0" applyAlignment="0" applyProtection="0"/>
    <xf numFmtId="0" fontId="14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15" fillId="0" borderId="11" applyNumberFormat="0" applyFill="0" applyAlignment="0" applyProtection="0"/>
    <xf numFmtId="0" fontId="50" fillId="21" borderId="2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1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" fillId="0" borderId="0"/>
    <xf numFmtId="0" fontId="3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2" fillId="3" borderId="0" applyNumberFormat="0" applyBorder="0" applyAlignment="0" applyProtection="0"/>
    <xf numFmtId="0" fontId="19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4" fillId="25" borderId="9" applyNumberFormat="0" applyFont="0" applyAlignment="0" applyProtection="0"/>
    <xf numFmtId="0" fontId="6" fillId="25" borderId="9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8" applyNumberFormat="0" applyFill="0" applyAlignment="0" applyProtection="0"/>
    <xf numFmtId="0" fontId="21" fillId="0" borderId="8" applyNumberFormat="0" applyFill="0" applyAlignment="0" applyProtection="0"/>
    <xf numFmtId="0" fontId="2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3" fontId="58" fillId="0" borderId="0" applyFont="0" applyFill="0" applyBorder="0" applyAlignment="0" applyProtection="0"/>
    <xf numFmtId="174" fontId="5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59" fillId="4" borderId="0" applyNumberFormat="0" applyBorder="0" applyAlignment="0" applyProtection="0"/>
    <xf numFmtId="0" fontId="23" fillId="4" borderId="0" applyNumberFormat="0" applyBorder="0" applyAlignment="0" applyProtection="0"/>
    <xf numFmtId="176" fontId="60" fillId="22" borderId="12" applyFill="0" applyBorder="0">
      <alignment horizontal="center" vertical="center" wrapText="1"/>
      <protection locked="0"/>
    </xf>
    <xf numFmtId="171" fontId="61" fillId="0" borderId="0">
      <alignment wrapText="1"/>
    </xf>
    <xf numFmtId="171" fontId="28" fillId="0" borderId="0">
      <alignment wrapText="1"/>
    </xf>
    <xf numFmtId="0" fontId="6" fillId="0" borderId="0"/>
    <xf numFmtId="43" fontId="3" fillId="0" borderId="0" applyFont="0" applyFill="0" applyBorder="0" applyAlignment="0" applyProtection="0"/>
    <xf numFmtId="0" fontId="1" fillId="0" borderId="0"/>
  </cellStyleXfs>
  <cellXfs count="399">
    <xf numFmtId="0" fontId="0" fillId="0" borderId="0" xfId="0"/>
    <xf numFmtId="178" fontId="67" fillId="29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vertical="center"/>
    </xf>
    <xf numFmtId="178" fontId="64" fillId="29" borderId="3" xfId="0" applyNumberFormat="1" applyFont="1" applyFill="1" applyBorder="1" applyAlignment="1">
      <alignment horizontal="center" vertical="center" wrapText="1"/>
    </xf>
    <xf numFmtId="178" fontId="66" fillId="29" borderId="3" xfId="0" applyNumberFormat="1" applyFont="1" applyFill="1" applyBorder="1" applyAlignment="1">
      <alignment horizontal="center" vertical="center" wrapText="1"/>
    </xf>
    <xf numFmtId="0" fontId="66" fillId="29" borderId="0" xfId="0" quotePrefix="1" applyFont="1" applyFill="1" applyBorder="1" applyAlignment="1">
      <alignment horizontal="center" vertical="center"/>
    </xf>
    <xf numFmtId="0" fontId="66" fillId="29" borderId="0" xfId="0" applyFont="1" applyFill="1" applyBorder="1" applyAlignment="1">
      <alignment vertical="center"/>
    </xf>
    <xf numFmtId="178" fontId="66" fillId="29" borderId="0" xfId="0" applyNumberFormat="1" applyFont="1" applyFill="1" applyBorder="1" applyAlignment="1">
      <alignment horizontal="center" vertical="center" wrapText="1"/>
    </xf>
    <xf numFmtId="178" fontId="66" fillId="29" borderId="0" xfId="0" applyNumberFormat="1" applyFont="1" applyFill="1" applyBorder="1" applyAlignment="1">
      <alignment vertical="center"/>
    </xf>
    <xf numFmtId="0" fontId="67" fillId="0" borderId="0" xfId="0" applyFont="1" applyFill="1" applyBorder="1" applyAlignment="1">
      <alignment horizontal="left" vertical="center"/>
    </xf>
    <xf numFmtId="0" fontId="63" fillId="0" borderId="0" xfId="0" applyFont="1" applyFill="1" applyAlignment="1"/>
    <xf numFmtId="0" fontId="73" fillId="0" borderId="0" xfId="0" applyFont="1" applyFill="1" applyAlignment="1">
      <alignment vertical="center"/>
    </xf>
    <xf numFmtId="0" fontId="77" fillId="29" borderId="3" xfId="0" applyFont="1" applyFill="1" applyBorder="1" applyAlignment="1">
      <alignment horizontal="left" vertical="center" wrapText="1"/>
    </xf>
    <xf numFmtId="0" fontId="77" fillId="29" borderId="3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vertical="center" wrapText="1"/>
    </xf>
    <xf numFmtId="0" fontId="77" fillId="29" borderId="3" xfId="0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vertical="center" wrapText="1"/>
    </xf>
    <xf numFmtId="0" fontId="64" fillId="29" borderId="3" xfId="0" applyFont="1" applyFill="1" applyBorder="1" applyAlignment="1">
      <alignment vertical="center" wrapText="1"/>
    </xf>
    <xf numFmtId="0" fontId="66" fillId="29" borderId="3" xfId="0" applyFont="1" applyFill="1" applyBorder="1" applyAlignment="1">
      <alignment horizontal="center" vertical="center" wrapText="1"/>
    </xf>
    <xf numFmtId="0" fontId="77" fillId="29" borderId="3" xfId="0" applyFont="1" applyFill="1" applyBorder="1" applyAlignment="1">
      <alignment vertical="center"/>
    </xf>
    <xf numFmtId="0" fontId="77" fillId="29" borderId="3" xfId="0" applyFont="1" applyFill="1" applyBorder="1" applyAlignment="1">
      <alignment horizontal="left" vertical="center"/>
    </xf>
    <xf numFmtId="0" fontId="66" fillId="29" borderId="3" xfId="0" applyFont="1" applyFill="1" applyBorder="1" applyAlignment="1">
      <alignment horizontal="left" vertical="center" wrapText="1"/>
    </xf>
    <xf numFmtId="0" fontId="71" fillId="29" borderId="0" xfId="0" applyFont="1" applyFill="1" applyBorder="1" applyAlignment="1">
      <alignment vertical="center"/>
    </xf>
    <xf numFmtId="178" fontId="64" fillId="29" borderId="3" xfId="0" applyNumberFormat="1" applyFont="1" applyFill="1" applyBorder="1" applyAlignment="1">
      <alignment horizontal="center" vertical="center"/>
    </xf>
    <xf numFmtId="178" fontId="66" fillId="29" borderId="3" xfId="0" applyNumberFormat="1" applyFont="1" applyFill="1" applyBorder="1" applyAlignment="1">
      <alignment horizontal="center" vertical="center"/>
    </xf>
    <xf numFmtId="0" fontId="66" fillId="29" borderId="0" xfId="0" applyFont="1" applyFill="1" applyBorder="1" applyAlignment="1">
      <alignment horizontal="left" vertical="center" wrapText="1"/>
    </xf>
    <xf numFmtId="170" fontId="66" fillId="29" borderId="0" xfId="0" applyNumberFormat="1" applyFont="1" applyFill="1" applyBorder="1" applyAlignment="1">
      <alignment horizontal="right" vertical="center" wrapText="1"/>
    </xf>
    <xf numFmtId="0" fontId="64" fillId="29" borderId="0" xfId="0" applyFont="1" applyFill="1" applyBorder="1" applyAlignment="1">
      <alignment vertical="center"/>
    </xf>
    <xf numFmtId="0" fontId="66" fillId="29" borderId="3" xfId="0" applyFont="1" applyFill="1" applyBorder="1" applyAlignment="1">
      <alignment vertical="center"/>
    </xf>
    <xf numFmtId="0" fontId="64" fillId="29" borderId="0" xfId="0" applyFont="1" applyFill="1" applyBorder="1" applyAlignment="1">
      <alignment horizontal="center" vertical="center" wrapText="1"/>
    </xf>
    <xf numFmtId="0" fontId="66" fillId="29" borderId="0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/>
    </xf>
    <xf numFmtId="179" fontId="64" fillId="29" borderId="3" xfId="0" applyNumberFormat="1" applyFont="1" applyFill="1" applyBorder="1" applyAlignment="1">
      <alignment horizontal="center" vertical="center" wrapText="1"/>
    </xf>
    <xf numFmtId="169" fontId="66" fillId="29" borderId="0" xfId="0" applyNumberFormat="1" applyFont="1" applyFill="1" applyBorder="1" applyAlignment="1">
      <alignment vertical="center"/>
    </xf>
    <xf numFmtId="0" fontId="66" fillId="29" borderId="0" xfId="0" applyFont="1" applyFill="1" applyBorder="1" applyAlignment="1">
      <alignment vertical="center" wrapText="1"/>
    </xf>
    <xf numFmtId="179" fontId="66" fillId="29" borderId="0" xfId="0" applyNumberFormat="1" applyFont="1" applyFill="1" applyBorder="1" applyAlignment="1">
      <alignment vertical="center"/>
    </xf>
    <xf numFmtId="0" fontId="64" fillId="29" borderId="3" xfId="0" quotePrefix="1" applyFont="1" applyFill="1" applyBorder="1" applyAlignment="1">
      <alignment horizontal="center" vertical="center"/>
    </xf>
    <xf numFmtId="179" fontId="64" fillId="29" borderId="0" xfId="0" applyNumberFormat="1" applyFont="1" applyFill="1" applyBorder="1" applyAlignment="1">
      <alignment vertical="center"/>
    </xf>
    <xf numFmtId="170" fontId="66" fillId="29" borderId="3" xfId="0" applyNumberFormat="1" applyFont="1" applyFill="1" applyBorder="1" applyAlignment="1">
      <alignment vertical="center" wrapText="1"/>
    </xf>
    <xf numFmtId="178" fontId="66" fillId="29" borderId="3" xfId="0" applyNumberFormat="1" applyFont="1" applyFill="1" applyBorder="1" applyAlignment="1">
      <alignment vertical="center" wrapText="1"/>
    </xf>
    <xf numFmtId="0" fontId="66" fillId="29" borderId="18" xfId="0" applyFont="1" applyFill="1" applyBorder="1" applyAlignment="1">
      <alignment horizontal="center" vertical="center"/>
    </xf>
    <xf numFmtId="0" fontId="66" fillId="29" borderId="18" xfId="0" applyFont="1" applyFill="1" applyBorder="1" applyAlignment="1">
      <alignment horizontal="center" vertical="center" wrapText="1"/>
    </xf>
    <xf numFmtId="178" fontId="83" fillId="29" borderId="3" xfId="0" applyNumberFormat="1" applyFont="1" applyFill="1" applyBorder="1" applyAlignment="1">
      <alignment horizontal="center" vertical="center"/>
    </xf>
    <xf numFmtId="178" fontId="84" fillId="29" borderId="3" xfId="0" applyNumberFormat="1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wrapText="1"/>
    </xf>
    <xf numFmtId="179" fontId="63" fillId="0" borderId="0" xfId="0" applyNumberFormat="1" applyFont="1" applyFill="1" applyAlignment="1">
      <alignment vertical="center"/>
    </xf>
    <xf numFmtId="0" fontId="66" fillId="0" borderId="0" xfId="0" applyFont="1" applyFill="1" applyAlignment="1">
      <alignment vertical="center"/>
    </xf>
    <xf numFmtId="0" fontId="66" fillId="0" borderId="3" xfId="0" applyFont="1" applyFill="1" applyBorder="1"/>
    <xf numFmtId="0" fontId="66" fillId="0" borderId="0" xfId="0" applyFont="1" applyFill="1" applyBorder="1" applyAlignment="1">
      <alignment vertical="center"/>
    </xf>
    <xf numFmtId="0" fontId="64" fillId="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center" vertical="center" wrapText="1"/>
    </xf>
    <xf numFmtId="0" fontId="66" fillId="0" borderId="13" xfId="0" applyFont="1" applyFill="1" applyBorder="1" applyAlignment="1">
      <alignment horizontal="center" vertical="center"/>
    </xf>
    <xf numFmtId="0" fontId="66" fillId="0" borderId="17" xfId="0" applyFont="1" applyFill="1" applyBorder="1" applyAlignment="1">
      <alignment horizontal="center" vertical="center"/>
    </xf>
    <xf numFmtId="0" fontId="66" fillId="0" borderId="17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 wrapText="1"/>
    </xf>
    <xf numFmtId="0" fontId="66" fillId="0" borderId="17" xfId="0" applyFont="1" applyFill="1" applyBorder="1" applyAlignment="1">
      <alignment horizontal="center" vertical="center" wrapText="1" shrinkToFit="1"/>
    </xf>
    <xf numFmtId="0" fontId="66" fillId="0" borderId="16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 wrapText="1"/>
    </xf>
    <xf numFmtId="0" fontId="64" fillId="0" borderId="3" xfId="0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vertical="center"/>
    </xf>
    <xf numFmtId="0" fontId="66" fillId="0" borderId="15" xfId="353" applyFont="1" applyFill="1" applyBorder="1" applyAlignment="1">
      <alignment vertical="center" wrapText="1"/>
    </xf>
    <xf numFmtId="178" fontId="66" fillId="0" borderId="3" xfId="0" applyNumberFormat="1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left" vertical="center" wrapText="1"/>
    </xf>
    <xf numFmtId="179" fontId="66" fillId="0" borderId="0" xfId="0" applyNumberFormat="1" applyFont="1" applyFill="1" applyBorder="1" applyAlignment="1">
      <alignment vertical="center"/>
    </xf>
    <xf numFmtId="0" fontId="77" fillId="0" borderId="3" xfId="355" applyFont="1" applyFill="1" applyBorder="1" applyAlignment="1">
      <alignment wrapText="1"/>
    </xf>
    <xf numFmtId="178" fontId="66" fillId="0" borderId="3" xfId="0" applyNumberFormat="1" applyFont="1" applyFill="1" applyBorder="1" applyAlignment="1">
      <alignment vertical="center"/>
    </xf>
    <xf numFmtId="0" fontId="77" fillId="0" borderId="3" xfId="355" applyFont="1" applyFill="1" applyBorder="1" applyAlignment="1">
      <alignment horizontal="left" vertical="center" wrapText="1"/>
    </xf>
    <xf numFmtId="0" fontId="85" fillId="0" borderId="15" xfId="355" applyFont="1" applyFill="1" applyBorder="1" applyAlignment="1">
      <alignment vertical="center" wrapText="1"/>
    </xf>
    <xf numFmtId="0" fontId="77" fillId="0" borderId="3" xfId="355" applyFont="1" applyFill="1" applyBorder="1" applyAlignment="1">
      <alignment vertical="center" wrapText="1"/>
    </xf>
    <xf numFmtId="0" fontId="85" fillId="0" borderId="3" xfId="355" applyFont="1" applyFill="1" applyBorder="1" applyAlignment="1">
      <alignment vertical="center" wrapText="1"/>
    </xf>
    <xf numFmtId="0" fontId="85" fillId="0" borderId="3" xfId="355" applyFont="1" applyFill="1" applyBorder="1" applyAlignment="1">
      <alignment wrapText="1"/>
    </xf>
    <xf numFmtId="0" fontId="77" fillId="0" borderId="3" xfId="0" applyFont="1" applyFill="1" applyBorder="1" applyAlignment="1">
      <alignment wrapText="1"/>
    </xf>
    <xf numFmtId="0" fontId="77" fillId="0" borderId="3" xfId="0" applyFont="1" applyFill="1" applyBorder="1"/>
    <xf numFmtId="0" fontId="64" fillId="0" borderId="0" xfId="0" applyFont="1" applyFill="1" applyBorder="1" applyAlignment="1">
      <alignment vertical="center"/>
    </xf>
    <xf numFmtId="179" fontId="64" fillId="0" borderId="0" xfId="0" applyNumberFormat="1" applyFont="1" applyFill="1" applyBorder="1" applyAlignment="1">
      <alignment vertical="center"/>
    </xf>
    <xf numFmtId="0" fontId="65" fillId="0" borderId="3" xfId="0" quotePrefix="1" applyFont="1" applyFill="1" applyBorder="1" applyAlignment="1">
      <alignment horizontal="center" vertical="center"/>
    </xf>
    <xf numFmtId="178" fontId="65" fillId="0" borderId="3" xfId="0" applyNumberFormat="1" applyFont="1" applyFill="1" applyBorder="1" applyAlignment="1">
      <alignment horizontal="center" vertical="center" wrapText="1"/>
    </xf>
    <xf numFmtId="178" fontId="74" fillId="0" borderId="3" xfId="0" applyNumberFormat="1" applyFont="1" applyFill="1" applyBorder="1" applyAlignment="1">
      <alignment horizontal="center" vertical="center" wrapText="1"/>
    </xf>
    <xf numFmtId="4" fontId="66" fillId="0" borderId="3" xfId="0" applyNumberFormat="1" applyFont="1" applyFill="1" applyBorder="1"/>
    <xf numFmtId="0" fontId="66" fillId="0" borderId="3" xfId="0" applyFont="1" applyFill="1" applyBorder="1" applyAlignment="1">
      <alignment horizontal="left" vertical="center"/>
    </xf>
    <xf numFmtId="0" fontId="77" fillId="0" borderId="3" xfId="0" applyFont="1" applyFill="1" applyBorder="1" applyAlignment="1">
      <alignment horizontal="left" vertical="center"/>
    </xf>
    <xf numFmtId="0" fontId="77" fillId="0" borderId="3" xfId="0" applyFont="1" applyFill="1" applyBorder="1" applyAlignment="1">
      <alignment vertical="center" wrapText="1"/>
    </xf>
    <xf numFmtId="0" fontId="66" fillId="0" borderId="0" xfId="0" applyFont="1" applyFill="1" applyBorder="1" applyAlignment="1">
      <alignment horizontal="left" vertical="center"/>
    </xf>
    <xf numFmtId="178" fontId="66" fillId="0" borderId="0" xfId="0" applyNumberFormat="1" applyFont="1" applyFill="1" applyBorder="1" applyAlignment="1">
      <alignment horizontal="center" vertical="center" wrapText="1"/>
    </xf>
    <xf numFmtId="178" fontId="66" fillId="0" borderId="0" xfId="0" applyNumberFormat="1" applyFont="1" applyFill="1" applyBorder="1" applyAlignment="1">
      <alignment vertical="center"/>
    </xf>
    <xf numFmtId="0" fontId="71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 wrapText="1"/>
    </xf>
    <xf numFmtId="170" fontId="66" fillId="0" borderId="0" xfId="0" applyNumberFormat="1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horizontal="right" vertical="center" wrapText="1"/>
    </xf>
    <xf numFmtId="0" fontId="66" fillId="0" borderId="0" xfId="0" applyFont="1" applyFill="1" applyBorder="1" applyAlignment="1">
      <alignment vertical="center" wrapText="1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right" vertical="center"/>
    </xf>
    <xf numFmtId="0" fontId="63" fillId="0" borderId="13" xfId="0" applyFont="1" applyFill="1" applyBorder="1" applyAlignment="1">
      <alignment vertical="center"/>
    </xf>
    <xf numFmtId="0" fontId="63" fillId="0" borderId="13" xfId="0" applyFont="1" applyFill="1" applyBorder="1" applyAlignment="1">
      <alignment horizontal="center" vertical="center"/>
    </xf>
    <xf numFmtId="0" fontId="63" fillId="0" borderId="17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center" vertical="center"/>
    </xf>
    <xf numFmtId="178" fontId="67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/>
    </xf>
    <xf numFmtId="0" fontId="69" fillId="0" borderId="0" xfId="0" applyFont="1" applyFill="1" applyBorder="1" applyAlignment="1">
      <alignment horizontal="center" vertical="center"/>
    </xf>
    <xf numFmtId="0" fontId="69" fillId="0" borderId="19" xfId="0" applyFont="1" applyFill="1" applyBorder="1" applyAlignment="1">
      <alignment horizontal="center" vertical="center"/>
    </xf>
    <xf numFmtId="0" fontId="63" fillId="0" borderId="19" xfId="0" applyFont="1" applyFill="1" applyBorder="1" applyAlignment="1">
      <alignment horizontal="center" vertical="center"/>
    </xf>
    <xf numFmtId="0" fontId="63" fillId="0" borderId="0" xfId="0" applyFont="1" applyFill="1" applyAlignment="1">
      <alignment vertical="center" wrapText="1" shrinkToFit="1"/>
    </xf>
    <xf numFmtId="0" fontId="63" fillId="0" borderId="0" xfId="0" applyFont="1" applyFill="1" applyBorder="1" applyAlignment="1">
      <alignment vertical="center" wrapText="1" shrinkToFit="1"/>
    </xf>
    <xf numFmtId="0" fontId="66" fillId="29" borderId="0" xfId="0" applyFont="1" applyFill="1" applyBorder="1" applyAlignment="1">
      <alignment horizontal="center" vertical="center"/>
    </xf>
    <xf numFmtId="0" fontId="66" fillId="29" borderId="0" xfId="0" applyFont="1" applyFill="1" applyBorder="1" applyAlignment="1">
      <alignment horizontal="left" vertical="center"/>
    </xf>
    <xf numFmtId="170" fontId="66" fillId="29" borderId="0" xfId="0" applyNumberFormat="1" applyFont="1" applyFill="1" applyBorder="1" applyAlignment="1">
      <alignment horizontal="left" vertical="center" wrapText="1"/>
    </xf>
    <xf numFmtId="0" fontId="77" fillId="0" borderId="3" xfId="355" applyFont="1" applyFill="1" applyBorder="1" applyAlignment="1">
      <alignment horizontal="left" vertical="center" wrapText="1"/>
    </xf>
    <xf numFmtId="179" fontId="66" fillId="29" borderId="0" xfId="0" applyNumberFormat="1" applyFont="1" applyFill="1" applyBorder="1" applyAlignment="1">
      <alignment horizontal="left" vertical="center"/>
    </xf>
    <xf numFmtId="0" fontId="66" fillId="29" borderId="0" xfId="0" applyFont="1" applyFill="1" applyBorder="1" applyAlignment="1">
      <alignment horizontal="right" vertical="center"/>
    </xf>
    <xf numFmtId="0" fontId="66" fillId="22" borderId="17" xfId="0" applyFont="1" applyFill="1" applyBorder="1" applyAlignment="1">
      <alignment horizontal="center" vertical="center"/>
    </xf>
    <xf numFmtId="0" fontId="66" fillId="22" borderId="17" xfId="0" applyFont="1" applyFill="1" applyBorder="1" applyAlignment="1">
      <alignment horizontal="center" vertical="center" wrapText="1"/>
    </xf>
    <xf numFmtId="0" fontId="66" fillId="22" borderId="17" xfId="0" applyFont="1" applyFill="1" applyBorder="1" applyAlignment="1">
      <alignment horizontal="center" vertical="center" wrapText="1" shrinkToFit="1"/>
    </xf>
    <xf numFmtId="0" fontId="66" fillId="22" borderId="16" xfId="0" applyFont="1" applyFill="1" applyBorder="1" applyAlignment="1">
      <alignment horizontal="center" vertical="center" wrapText="1"/>
    </xf>
    <xf numFmtId="0" fontId="66" fillId="22" borderId="3" xfId="0" applyFont="1" applyFill="1" applyBorder="1" applyAlignment="1">
      <alignment horizontal="center" vertical="center"/>
    </xf>
    <xf numFmtId="0" fontId="66" fillId="22" borderId="3" xfId="0" applyFont="1" applyFill="1" applyBorder="1" applyAlignment="1">
      <alignment horizontal="center" vertical="center" wrapText="1"/>
    </xf>
    <xf numFmtId="0" fontId="89" fillId="22" borderId="3" xfId="0" applyFont="1" applyFill="1" applyBorder="1" applyAlignment="1">
      <alignment horizontal="left" vertical="center" wrapText="1"/>
    </xf>
    <xf numFmtId="0" fontId="90" fillId="22" borderId="3" xfId="0" applyFont="1" applyFill="1" applyBorder="1" applyAlignment="1">
      <alignment horizontal="center" vertical="center" wrapText="1"/>
    </xf>
    <xf numFmtId="178" fontId="90" fillId="29" borderId="3" xfId="0" applyNumberFormat="1" applyFont="1" applyFill="1" applyBorder="1" applyAlignment="1">
      <alignment horizontal="center" vertical="center" wrapText="1"/>
    </xf>
    <xf numFmtId="178" fontId="90" fillId="29" borderId="3" xfId="0" applyNumberFormat="1" applyFont="1" applyFill="1" applyBorder="1" applyAlignment="1">
      <alignment vertical="center"/>
    </xf>
    <xf numFmtId="0" fontId="91" fillId="29" borderId="3" xfId="0" applyFont="1" applyFill="1" applyBorder="1" applyAlignment="1">
      <alignment horizontal="left" vertical="center" wrapText="1"/>
    </xf>
    <xf numFmtId="0" fontId="91" fillId="22" borderId="3" xfId="0" applyFont="1" applyFill="1" applyBorder="1" applyAlignment="1">
      <alignment horizontal="center" vertical="center" wrapText="1"/>
    </xf>
    <xf numFmtId="178" fontId="92" fillId="29" borderId="3" xfId="0" applyNumberFormat="1" applyFont="1" applyFill="1" applyBorder="1" applyAlignment="1">
      <alignment horizontal="center" vertical="center" wrapText="1"/>
    </xf>
    <xf numFmtId="178" fontId="92" fillId="29" borderId="3" xfId="0" applyNumberFormat="1" applyFont="1" applyFill="1" applyBorder="1" applyAlignment="1">
      <alignment vertical="center"/>
    </xf>
    <xf numFmtId="0" fontId="90" fillId="29" borderId="3" xfId="0" applyFont="1" applyFill="1" applyBorder="1" applyAlignment="1">
      <alignment horizontal="left" vertical="center" wrapText="1"/>
    </xf>
    <xf numFmtId="0" fontId="90" fillId="22" borderId="3" xfId="0" quotePrefix="1" applyFont="1" applyFill="1" applyBorder="1" applyAlignment="1">
      <alignment horizontal="center" vertical="center"/>
    </xf>
    <xf numFmtId="178" fontId="91" fillId="29" borderId="3" xfId="0" applyNumberFormat="1" applyFont="1" applyFill="1" applyBorder="1" applyAlignment="1">
      <alignment horizontal="center" vertical="center" wrapText="1"/>
    </xf>
    <xf numFmtId="0" fontId="66" fillId="0" borderId="0" xfId="0" applyFont="1" applyBorder="1" applyAlignment="1">
      <alignment horizontal="left" vertical="center"/>
    </xf>
    <xf numFmtId="0" fontId="64" fillId="22" borderId="0" xfId="0" quotePrefix="1" applyFont="1" applyFill="1" applyBorder="1" applyAlignment="1">
      <alignment horizontal="center" vertical="center"/>
    </xf>
    <xf numFmtId="178" fontId="64" fillId="29" borderId="0" xfId="0" applyNumberFormat="1" applyFont="1" applyFill="1" applyBorder="1" applyAlignment="1">
      <alignment vertical="center"/>
    </xf>
    <xf numFmtId="0" fontId="66" fillId="22" borderId="0" xfId="0" applyFont="1" applyFill="1" applyBorder="1" applyAlignment="1">
      <alignment horizontal="left" vertical="center" wrapText="1"/>
    </xf>
    <xf numFmtId="0" fontId="66" fillId="22" borderId="0" xfId="0" applyFont="1" applyFill="1" applyBorder="1" applyAlignment="1">
      <alignment horizontal="center" vertical="center"/>
    </xf>
    <xf numFmtId="170" fontId="66" fillId="22" borderId="0" xfId="0" applyNumberFormat="1" applyFont="1" applyFill="1" applyBorder="1" applyAlignment="1">
      <alignment horizontal="center" vertical="center" wrapText="1"/>
    </xf>
    <xf numFmtId="170" fontId="66" fillId="22" borderId="0" xfId="0" applyNumberFormat="1" applyFont="1" applyFill="1" applyBorder="1" applyAlignment="1">
      <alignment horizontal="right" vertical="center" wrapText="1"/>
    </xf>
    <xf numFmtId="0" fontId="66" fillId="0" borderId="3" xfId="0" applyFont="1" applyFill="1" applyBorder="1" applyAlignment="1">
      <alignment vertical="center"/>
    </xf>
    <xf numFmtId="0" fontId="91" fillId="22" borderId="3" xfId="0" quotePrefix="1" applyFont="1" applyFill="1" applyBorder="1" applyAlignment="1">
      <alignment horizontal="center" vertical="center"/>
    </xf>
    <xf numFmtId="178" fontId="91" fillId="29" borderId="3" xfId="0" applyNumberFormat="1" applyFont="1" applyFill="1" applyBorder="1" applyAlignment="1">
      <alignment vertical="center"/>
    </xf>
    <xf numFmtId="181" fontId="66" fillId="29" borderId="0" xfId="0" applyNumberFormat="1" applyFont="1" applyFill="1" applyBorder="1" applyAlignment="1">
      <alignment vertical="center"/>
    </xf>
    <xf numFmtId="181" fontId="64" fillId="29" borderId="0" xfId="0" applyNumberFormat="1" applyFont="1" applyFill="1" applyBorder="1" applyAlignment="1">
      <alignment vertical="center"/>
    </xf>
    <xf numFmtId="0" fontId="63" fillId="0" borderId="3" xfId="0" applyFont="1" applyFill="1" applyBorder="1" applyAlignment="1">
      <alignment horizontal="center" vertical="center" wrapText="1" shrinkToFit="1"/>
    </xf>
    <xf numFmtId="0" fontId="71" fillId="29" borderId="0" xfId="0" applyFont="1" applyFill="1" applyBorder="1" applyAlignment="1">
      <alignment horizontal="center" wrapText="1"/>
    </xf>
    <xf numFmtId="169" fontId="64" fillId="29" borderId="3" xfId="0" applyNumberFormat="1" applyFont="1" applyFill="1" applyBorder="1" applyAlignment="1">
      <alignment horizontal="right" vertical="center"/>
    </xf>
    <xf numFmtId="0" fontId="63" fillId="29" borderId="3" xfId="0" applyFont="1" applyFill="1" applyBorder="1" applyAlignment="1">
      <alignment horizontal="center" vertical="center" wrapText="1"/>
    </xf>
    <xf numFmtId="0" fontId="63" fillId="29" borderId="17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 wrapText="1"/>
    </xf>
    <xf numFmtId="0" fontId="66" fillId="29" borderId="0" xfId="0" applyFont="1" applyFill="1" applyBorder="1" applyAlignment="1">
      <alignment horizontal="center" vertical="center"/>
    </xf>
    <xf numFmtId="170" fontId="66" fillId="29" borderId="0" xfId="0" applyNumberFormat="1" applyFont="1" applyFill="1" applyBorder="1" applyAlignment="1">
      <alignment horizontal="center" vertical="center" wrapText="1"/>
    </xf>
    <xf numFmtId="0" fontId="66" fillId="29" borderId="0" xfId="0" applyFont="1" applyFill="1" applyBorder="1" applyAlignment="1">
      <alignment horizontal="left" vertical="center"/>
    </xf>
    <xf numFmtId="0" fontId="64" fillId="29" borderId="3" xfId="0" applyFont="1" applyFill="1" applyBorder="1" applyAlignment="1">
      <alignment horizontal="center" vertical="center"/>
    </xf>
    <xf numFmtId="0" fontId="64" fillId="29" borderId="3" xfId="0" applyFont="1" applyFill="1" applyBorder="1" applyAlignment="1">
      <alignment horizontal="center" vertical="center" wrapText="1"/>
    </xf>
    <xf numFmtId="0" fontId="85" fillId="0" borderId="3" xfId="355" applyFont="1" applyFill="1" applyBorder="1" applyAlignment="1">
      <alignment horizontal="left" vertical="center" wrapText="1"/>
    </xf>
    <xf numFmtId="178" fontId="66" fillId="30" borderId="3" xfId="0" applyNumberFormat="1" applyFont="1" applyFill="1" applyBorder="1" applyAlignment="1">
      <alignment horizontal="center" vertical="center" wrapText="1"/>
    </xf>
    <xf numFmtId="178" fontId="89" fillId="29" borderId="3" xfId="0" applyNumberFormat="1" applyFont="1" applyFill="1" applyBorder="1" applyAlignment="1">
      <alignment horizontal="center" vertical="center" wrapText="1"/>
    </xf>
    <xf numFmtId="178" fontId="89" fillId="29" borderId="3" xfId="0" applyNumberFormat="1" applyFont="1" applyFill="1" applyBorder="1" applyAlignment="1">
      <alignment vertical="center"/>
    </xf>
    <xf numFmtId="178" fontId="97" fillId="29" borderId="3" xfId="0" applyNumberFormat="1" applyFont="1" applyFill="1" applyBorder="1" applyAlignment="1">
      <alignment vertical="center"/>
    </xf>
    <xf numFmtId="178" fontId="98" fillId="29" borderId="3" xfId="0" applyNumberFormat="1" applyFont="1" applyFill="1" applyBorder="1" applyAlignment="1">
      <alignment vertical="center"/>
    </xf>
    <xf numFmtId="178" fontId="99" fillId="29" borderId="3" xfId="0" applyNumberFormat="1" applyFont="1" applyFill="1" applyBorder="1" applyAlignment="1">
      <alignment vertical="center"/>
    </xf>
    <xf numFmtId="0" fontId="77" fillId="0" borderId="3" xfId="0" applyFont="1" applyFill="1" applyBorder="1" applyAlignment="1">
      <alignment horizontal="left" vertical="center" wrapText="1"/>
    </xf>
    <xf numFmtId="0" fontId="66" fillId="0" borderId="3" xfId="0" applyFont="1" applyFill="1" applyBorder="1" applyAlignment="1">
      <alignment vertical="center" wrapText="1"/>
    </xf>
    <xf numFmtId="4" fontId="66" fillId="0" borderId="3" xfId="0" applyNumberFormat="1" applyFont="1" applyFill="1" applyBorder="1" applyAlignment="1">
      <alignment horizontal="left" vertical="center"/>
    </xf>
    <xf numFmtId="0" fontId="74" fillId="0" borderId="3" xfId="0" applyFont="1" applyFill="1" applyBorder="1" applyAlignment="1">
      <alignment horizontal="left" vertical="center" wrapText="1"/>
    </xf>
    <xf numFmtId="0" fontId="74" fillId="0" borderId="3" xfId="0" quotePrefix="1" applyFont="1" applyFill="1" applyBorder="1" applyAlignment="1">
      <alignment horizontal="center" vertical="center"/>
    </xf>
    <xf numFmtId="178" fontId="74" fillId="0" borderId="3" xfId="0" applyNumberFormat="1" applyFont="1" applyFill="1" applyBorder="1" applyAlignment="1">
      <alignment vertical="center"/>
    </xf>
    <xf numFmtId="0" fontId="74" fillId="0" borderId="3" xfId="0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vertical="center" wrapText="1"/>
    </xf>
    <xf numFmtId="0" fontId="71" fillId="0" borderId="0" xfId="0" applyFont="1" applyFill="1" applyBorder="1" applyAlignment="1">
      <alignment horizontal="center" wrapText="1"/>
    </xf>
    <xf numFmtId="178" fontId="84" fillId="0" borderId="3" xfId="0" applyNumberFormat="1" applyFont="1" applyFill="1" applyBorder="1" applyAlignment="1">
      <alignment vertical="center"/>
    </xf>
    <xf numFmtId="178" fontId="83" fillId="0" borderId="3" xfId="0" applyNumberFormat="1" applyFont="1" applyFill="1" applyBorder="1" applyAlignment="1">
      <alignment vertical="center"/>
    </xf>
    <xf numFmtId="178" fontId="93" fillId="0" borderId="3" xfId="0" applyNumberFormat="1" applyFont="1" applyFill="1" applyBorder="1" applyAlignment="1">
      <alignment vertical="center"/>
    </xf>
    <xf numFmtId="0" fontId="63" fillId="29" borderId="0" xfId="0" applyFont="1" applyFill="1" applyAlignment="1">
      <alignment horizontal="right" vertical="center"/>
    </xf>
    <xf numFmtId="0" fontId="63" fillId="29" borderId="13" xfId="0" applyFont="1" applyFill="1" applyBorder="1" applyAlignment="1">
      <alignment horizontal="center" vertical="center"/>
    </xf>
    <xf numFmtId="178" fontId="67" fillId="29" borderId="3" xfId="0" applyNumberFormat="1" applyFont="1" applyFill="1" applyBorder="1" applyAlignment="1">
      <alignment horizontal="center" vertical="center"/>
    </xf>
    <xf numFmtId="178" fontId="66" fillId="29" borderId="3" xfId="0" applyNumberFormat="1" applyFont="1" applyFill="1" applyBorder="1" applyAlignment="1">
      <alignment vertical="center"/>
    </xf>
    <xf numFmtId="0" fontId="66" fillId="29" borderId="0" xfId="0" applyFont="1" applyFill="1" applyAlignment="1">
      <alignment vertical="center"/>
    </xf>
    <xf numFmtId="0" fontId="63" fillId="29" borderId="0" xfId="0" applyFont="1" applyFill="1" applyBorder="1" applyAlignment="1">
      <alignment horizontal="center" vertical="center" wrapText="1"/>
    </xf>
    <xf numFmtId="0" fontId="63" fillId="29" borderId="0" xfId="0" applyFont="1" applyFill="1" applyBorder="1" applyAlignment="1"/>
    <xf numFmtId="0" fontId="69" fillId="29" borderId="0" xfId="0" applyFont="1" applyFill="1" applyBorder="1" applyAlignment="1">
      <alignment horizontal="center" vertical="center"/>
    </xf>
    <xf numFmtId="0" fontId="63" fillId="29" borderId="0" xfId="0" applyFont="1" applyFill="1" applyBorder="1" applyAlignment="1">
      <alignment vertical="center" wrapText="1" shrinkToFit="1"/>
    </xf>
    <xf numFmtId="0" fontId="63" fillId="29" borderId="0" xfId="0" applyFont="1" applyFill="1" applyAlignment="1">
      <alignment vertical="center" wrapText="1" shrinkToFit="1"/>
    </xf>
    <xf numFmtId="0" fontId="63" fillId="29" borderId="0" xfId="0" applyFont="1" applyFill="1" applyAlignment="1">
      <alignment vertical="center"/>
    </xf>
    <xf numFmtId="178" fontId="84" fillId="0" borderId="3" xfId="0" applyNumberFormat="1" applyFont="1" applyFill="1" applyBorder="1" applyAlignment="1">
      <alignment horizontal="center" vertical="center" wrapText="1"/>
    </xf>
    <xf numFmtId="178" fontId="83" fillId="0" borderId="3" xfId="0" applyNumberFormat="1" applyFont="1" applyFill="1" applyBorder="1" applyAlignment="1">
      <alignment horizontal="center" vertical="center" wrapText="1"/>
    </xf>
    <xf numFmtId="178" fontId="96" fillId="0" borderId="3" xfId="0" applyNumberFormat="1" applyFont="1" applyFill="1" applyBorder="1" applyAlignment="1">
      <alignment horizontal="center" vertical="center" wrapText="1"/>
    </xf>
    <xf numFmtId="178" fontId="77" fillId="29" borderId="3" xfId="0" applyNumberFormat="1" applyFont="1" applyFill="1" applyBorder="1" applyAlignment="1">
      <alignment horizontal="center" vertical="center" wrapText="1"/>
    </xf>
    <xf numFmtId="0" fontId="89" fillId="22" borderId="3" xfId="0" applyFont="1" applyFill="1" applyBorder="1" applyAlignment="1">
      <alignment horizontal="center" vertical="center" wrapText="1"/>
    </xf>
    <xf numFmtId="178" fontId="90" fillId="29" borderId="16" xfId="0" applyNumberFormat="1" applyFont="1" applyFill="1" applyBorder="1" applyAlignment="1">
      <alignment horizontal="center" vertical="center" wrapText="1"/>
    </xf>
    <xf numFmtId="0" fontId="63" fillId="0" borderId="0" xfId="0" applyFont="1" applyFill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 wrapText="1"/>
    </xf>
    <xf numFmtId="0" fontId="71" fillId="29" borderId="0" xfId="0" applyFont="1" applyFill="1" applyBorder="1" applyAlignment="1">
      <alignment horizontal="center"/>
    </xf>
    <xf numFmtId="0" fontId="66" fillId="29" borderId="0" xfId="0" applyFont="1" applyFill="1" applyBorder="1" applyAlignment="1">
      <alignment horizontal="center" vertical="center"/>
    </xf>
    <xf numFmtId="0" fontId="67" fillId="29" borderId="0" xfId="0" applyFont="1" applyFill="1" applyBorder="1" applyAlignment="1">
      <alignment horizontal="center" vertical="center" wrapText="1"/>
    </xf>
    <xf numFmtId="170" fontId="66" fillId="29" borderId="13" xfId="0" applyNumberFormat="1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center" vertical="center"/>
    </xf>
    <xf numFmtId="0" fontId="64" fillId="29" borderId="3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 wrapText="1"/>
    </xf>
    <xf numFmtId="170" fontId="64" fillId="29" borderId="13" xfId="0" quotePrefix="1" applyNumberFormat="1" applyFont="1" applyFill="1" applyBorder="1" applyAlignment="1">
      <alignment horizontal="center" wrapText="1"/>
    </xf>
    <xf numFmtId="0" fontId="66" fillId="29" borderId="0" xfId="0" applyFont="1" applyFill="1" applyBorder="1" applyAlignment="1">
      <alignment horizontal="left" vertical="center"/>
    </xf>
    <xf numFmtId="0" fontId="64" fillId="0" borderId="13" xfId="0" applyFont="1" applyFill="1" applyBorder="1" applyAlignment="1">
      <alignment horizontal="center"/>
    </xf>
    <xf numFmtId="170" fontId="66" fillId="0" borderId="13" xfId="0" applyNumberFormat="1" applyFont="1" applyFill="1" applyBorder="1" applyAlignment="1">
      <alignment horizontal="center" vertical="center" wrapText="1"/>
    </xf>
    <xf numFmtId="0" fontId="66" fillId="0" borderId="19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7" fillId="0" borderId="15" xfId="0" applyFont="1" applyFill="1" applyBorder="1" applyAlignment="1">
      <alignment horizontal="left" vertical="center" wrapText="1"/>
    </xf>
    <xf numFmtId="0" fontId="67" fillId="0" borderId="14" xfId="0" applyFont="1" applyFill="1" applyBorder="1" applyAlignment="1">
      <alignment horizontal="left" vertical="center" wrapText="1"/>
    </xf>
    <xf numFmtId="0" fontId="77" fillId="0" borderId="15" xfId="0" applyFont="1" applyFill="1" applyBorder="1" applyAlignment="1">
      <alignment horizontal="left" wrapText="1"/>
    </xf>
    <xf numFmtId="0" fontId="77" fillId="0" borderId="14" xfId="0" applyFont="1" applyFill="1" applyBorder="1" applyAlignment="1">
      <alignment horizontal="left" wrapText="1"/>
    </xf>
    <xf numFmtId="0" fontId="77" fillId="0" borderId="16" xfId="0" applyFont="1" applyFill="1" applyBorder="1" applyAlignment="1">
      <alignment horizontal="left" wrapText="1"/>
    </xf>
    <xf numFmtId="43" fontId="77" fillId="0" borderId="15" xfId="354" applyFont="1" applyFill="1" applyBorder="1" applyAlignment="1">
      <alignment horizontal="left" wrapText="1"/>
    </xf>
    <xf numFmtId="43" fontId="77" fillId="0" borderId="14" xfId="354" applyFont="1" applyFill="1" applyBorder="1" applyAlignment="1">
      <alignment horizontal="left" wrapText="1"/>
    </xf>
    <xf numFmtId="43" fontId="77" fillId="0" borderId="16" xfId="354" applyFont="1" applyFill="1" applyBorder="1" applyAlignment="1">
      <alignment horizontal="left" wrapText="1"/>
    </xf>
    <xf numFmtId="0" fontId="77" fillId="0" borderId="15" xfId="355" applyFont="1" applyFill="1" applyBorder="1" applyAlignment="1">
      <alignment horizontal="left" wrapText="1"/>
    </xf>
    <xf numFmtId="0" fontId="77" fillId="0" borderId="14" xfId="355" applyFont="1" applyFill="1" applyBorder="1" applyAlignment="1">
      <alignment horizontal="left" wrapText="1"/>
    </xf>
    <xf numFmtId="0" fontId="77" fillId="0" borderId="16" xfId="355" applyFont="1" applyFill="1" applyBorder="1" applyAlignment="1">
      <alignment horizontal="left" wrapText="1"/>
    </xf>
    <xf numFmtId="0" fontId="66" fillId="0" borderId="15" xfId="0" applyFont="1" applyFill="1" applyBorder="1" applyAlignment="1">
      <alignment horizontal="left" wrapText="1"/>
    </xf>
    <xf numFmtId="0" fontId="66" fillId="0" borderId="14" xfId="0" applyFont="1" applyFill="1" applyBorder="1" applyAlignment="1">
      <alignment horizontal="left" wrapText="1"/>
    </xf>
    <xf numFmtId="0" fontId="66" fillId="0" borderId="16" xfId="0" applyFont="1" applyFill="1" applyBorder="1" applyAlignment="1">
      <alignment horizontal="left" wrapText="1"/>
    </xf>
    <xf numFmtId="0" fontId="77" fillId="0" borderId="15" xfId="355" applyFont="1" applyFill="1" applyBorder="1" applyAlignment="1">
      <alignment horizontal="left" vertical="center" wrapText="1"/>
    </xf>
    <xf numFmtId="0" fontId="77" fillId="0" borderId="14" xfId="355" applyFont="1" applyFill="1" applyBorder="1" applyAlignment="1">
      <alignment horizontal="left" vertical="center" wrapText="1"/>
    </xf>
    <xf numFmtId="0" fontId="77" fillId="0" borderId="16" xfId="355" applyFont="1" applyFill="1" applyBorder="1" applyAlignment="1">
      <alignment horizontal="left" vertical="center" wrapText="1"/>
    </xf>
    <xf numFmtId="0" fontId="85" fillId="0" borderId="15" xfId="355" applyFont="1" applyFill="1" applyBorder="1" applyAlignment="1">
      <alignment horizontal="left" vertical="center" wrapText="1"/>
    </xf>
    <xf numFmtId="0" fontId="85" fillId="0" borderId="14" xfId="355" applyFont="1" applyFill="1" applyBorder="1" applyAlignment="1">
      <alignment horizontal="left" vertical="center" wrapText="1"/>
    </xf>
    <xf numFmtId="0" fontId="85" fillId="0" borderId="16" xfId="355" applyFont="1" applyFill="1" applyBorder="1" applyAlignment="1">
      <alignment horizontal="left" vertical="center" wrapText="1"/>
    </xf>
    <xf numFmtId="0" fontId="85" fillId="0" borderId="3" xfId="355" applyFont="1" applyFill="1" applyBorder="1" applyAlignment="1">
      <alignment horizontal="left" wrapText="1"/>
    </xf>
    <xf numFmtId="0" fontId="77" fillId="0" borderId="3" xfId="355" applyFont="1" applyFill="1" applyBorder="1" applyAlignment="1">
      <alignment horizontal="left" vertical="center" wrapText="1"/>
    </xf>
    <xf numFmtId="0" fontId="85" fillId="0" borderId="3" xfId="355" applyFont="1" applyFill="1" applyBorder="1" applyAlignment="1">
      <alignment horizontal="left" vertical="center" wrapText="1"/>
    </xf>
    <xf numFmtId="0" fontId="73" fillId="0" borderId="0" xfId="0" applyFont="1" applyFill="1" applyAlignment="1">
      <alignment vertical="center" wrapText="1"/>
    </xf>
    <xf numFmtId="0" fontId="63" fillId="0" borderId="0" xfId="0" applyFont="1" applyFill="1" applyAlignment="1">
      <alignment vertical="center" wrapText="1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3" fontId="67" fillId="0" borderId="15" xfId="0" applyNumberFormat="1" applyFont="1" applyFill="1" applyBorder="1" applyAlignment="1">
      <alignment horizontal="left" vertical="center" wrapText="1"/>
    </xf>
    <xf numFmtId="3" fontId="67" fillId="0" borderId="14" xfId="0" applyNumberFormat="1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left" vertical="center" wrapText="1"/>
    </xf>
    <xf numFmtId="0" fontId="66" fillId="0" borderId="14" xfId="0" applyFont="1" applyFill="1" applyBorder="1" applyAlignment="1">
      <alignment horizontal="left" vertical="center" wrapText="1"/>
    </xf>
    <xf numFmtId="0" fontId="66" fillId="0" borderId="16" xfId="0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 vertical="center"/>
    </xf>
    <xf numFmtId="43" fontId="66" fillId="0" borderId="15" xfId="354" applyFont="1" applyFill="1" applyBorder="1" applyAlignment="1">
      <alignment horizontal="left" wrapText="1"/>
    </xf>
    <xf numFmtId="43" fontId="66" fillId="0" borderId="14" xfId="354" applyFont="1" applyFill="1" applyBorder="1" applyAlignment="1">
      <alignment horizontal="left" wrapText="1"/>
    </xf>
    <xf numFmtId="43" fontId="66" fillId="0" borderId="16" xfId="354" applyFont="1" applyFill="1" applyBorder="1" applyAlignment="1">
      <alignment horizontal="left" wrapText="1"/>
    </xf>
    <xf numFmtId="0" fontId="77" fillId="0" borderId="15" xfId="0" applyFont="1" applyFill="1" applyBorder="1" applyAlignment="1">
      <alignment horizontal="left"/>
    </xf>
    <xf numFmtId="0" fontId="77" fillId="0" borderId="14" xfId="0" applyFont="1" applyFill="1" applyBorder="1" applyAlignment="1">
      <alignment horizontal="left"/>
    </xf>
    <xf numFmtId="0" fontId="77" fillId="0" borderId="16" xfId="0" applyFont="1" applyFill="1" applyBorder="1" applyAlignment="1">
      <alignment horizontal="left"/>
    </xf>
    <xf numFmtId="0" fontId="70" fillId="0" borderId="0" xfId="0" applyFont="1" applyFill="1" applyBorder="1" applyAlignment="1">
      <alignment horizontal="center" wrapText="1"/>
    </xf>
    <xf numFmtId="0" fontId="66" fillId="0" borderId="15" xfId="0" applyFont="1" applyFill="1" applyBorder="1" applyAlignment="1">
      <alignment horizontal="center" wrapText="1"/>
    </xf>
    <xf numFmtId="0" fontId="66" fillId="0" borderId="14" xfId="0" applyFont="1" applyFill="1" applyBorder="1" applyAlignment="1">
      <alignment horizontal="center" wrapText="1"/>
    </xf>
    <xf numFmtId="0" fontId="66" fillId="0" borderId="16" xfId="0" applyFont="1" applyFill="1" applyBorder="1" applyAlignment="1">
      <alignment horizontal="center" wrapText="1"/>
    </xf>
    <xf numFmtId="0" fontId="67" fillId="0" borderId="16" xfId="0" applyFont="1" applyFill="1" applyBorder="1" applyAlignment="1">
      <alignment horizontal="left" vertical="center" wrapText="1"/>
    </xf>
    <xf numFmtId="1" fontId="64" fillId="0" borderId="0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179" fontId="64" fillId="0" borderId="0" xfId="0" applyNumberFormat="1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/>
    </xf>
    <xf numFmtId="179" fontId="64" fillId="0" borderId="3" xfId="0" applyNumberFormat="1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center" vertical="center"/>
    </xf>
    <xf numFmtId="169" fontId="64" fillId="0" borderId="3" xfId="0" applyNumberFormat="1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vertical="center"/>
    </xf>
    <xf numFmtId="178" fontId="64" fillId="0" borderId="0" xfId="0" applyNumberFormat="1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vertical="center" wrapText="1"/>
    </xf>
    <xf numFmtId="178" fontId="66" fillId="0" borderId="0" xfId="0" applyNumberFormat="1" applyFont="1" applyFill="1" applyBorder="1" applyAlignment="1">
      <alignment horizontal="center" vertical="center"/>
    </xf>
    <xf numFmtId="0" fontId="65" fillId="0" borderId="3" xfId="0" applyFont="1" applyFill="1" applyBorder="1" applyAlignment="1">
      <alignment horizontal="left" vertical="center"/>
    </xf>
    <xf numFmtId="49" fontId="64" fillId="0" borderId="3" xfId="0" applyNumberFormat="1" applyFont="1" applyFill="1" applyBorder="1" applyAlignment="1">
      <alignment horizontal="center" vertical="center"/>
    </xf>
    <xf numFmtId="49" fontId="79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horizontal="center" vertical="center" wrapText="1"/>
    </xf>
    <xf numFmtId="178" fontId="74" fillId="0" borderId="3" xfId="0" applyNumberFormat="1" applyFont="1" applyFill="1" applyBorder="1" applyAlignment="1">
      <alignment horizontal="center" vertical="center"/>
    </xf>
    <xf numFmtId="179" fontId="67" fillId="0" borderId="0" xfId="0" applyNumberFormat="1" applyFont="1" applyFill="1" applyBorder="1" applyAlignment="1">
      <alignment vertical="center"/>
    </xf>
    <xf numFmtId="49" fontId="76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center" vertical="center" wrapText="1"/>
    </xf>
    <xf numFmtId="178" fontId="64" fillId="0" borderId="0" xfId="0" applyNumberFormat="1" applyFont="1" applyFill="1" applyBorder="1" applyAlignment="1">
      <alignment vertical="center"/>
    </xf>
    <xf numFmtId="178" fontId="84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/>
    </xf>
    <xf numFmtId="178" fontId="93" fillId="0" borderId="3" xfId="0" applyNumberFormat="1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vertical="center"/>
    </xf>
    <xf numFmtId="49" fontId="77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vertical="center"/>
    </xf>
    <xf numFmtId="170" fontId="66" fillId="0" borderId="0" xfId="0" applyNumberFormat="1" applyFont="1" applyFill="1" applyBorder="1" applyAlignment="1">
      <alignment vertical="center"/>
    </xf>
    <xf numFmtId="0" fontId="82" fillId="0" borderId="3" xfId="0" applyFont="1" applyFill="1" applyBorder="1" applyAlignment="1">
      <alignment horizontal="center" vertical="center"/>
    </xf>
    <xf numFmtId="178" fontId="88" fillId="0" borderId="3" xfId="0" applyNumberFormat="1" applyFont="1" applyFill="1" applyBorder="1" applyAlignment="1">
      <alignment horizontal="center" vertical="center" wrapText="1"/>
    </xf>
    <xf numFmtId="178" fontId="66" fillId="0" borderId="0" xfId="0" applyNumberFormat="1" applyFont="1" applyFill="1" applyBorder="1" applyAlignment="1">
      <alignment horizontal="center"/>
    </xf>
    <xf numFmtId="179" fontId="66" fillId="0" borderId="0" xfId="0" applyNumberFormat="1" applyFont="1" applyFill="1" applyBorder="1" applyAlignment="1">
      <alignment horizontal="center"/>
    </xf>
    <xf numFmtId="49" fontId="75" fillId="0" borderId="3" xfId="0" applyNumberFormat="1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/>
    </xf>
    <xf numFmtId="178" fontId="83" fillId="0" borderId="3" xfId="0" applyNumberFormat="1" applyFont="1" applyFill="1" applyBorder="1" applyAlignment="1">
      <alignment horizontal="center" vertical="center"/>
    </xf>
    <xf numFmtId="179" fontId="66" fillId="0" borderId="0" xfId="0" applyNumberFormat="1" applyFont="1" applyFill="1" applyBorder="1" applyAlignment="1">
      <alignment horizontal="center" vertical="center"/>
    </xf>
    <xf numFmtId="0" fontId="74" fillId="0" borderId="3" xfId="0" applyFont="1" applyFill="1" applyBorder="1" applyAlignment="1">
      <alignment horizontal="left" vertical="center"/>
    </xf>
    <xf numFmtId="0" fontId="75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left" vertical="center" wrapText="1"/>
    </xf>
    <xf numFmtId="0" fontId="76" fillId="0" borderId="3" xfId="0" applyFont="1" applyFill="1" applyBorder="1" applyAlignment="1">
      <alignment horizontal="left" vertical="center" wrapText="1"/>
    </xf>
    <xf numFmtId="0" fontId="75" fillId="0" borderId="3" xfId="0" applyFont="1" applyFill="1" applyBorder="1" applyAlignment="1">
      <alignment horizontal="left" vertical="center" wrapText="1"/>
    </xf>
    <xf numFmtId="0" fontId="79" fillId="0" borderId="3" xfId="0" applyFont="1" applyFill="1" applyBorder="1" applyAlignment="1">
      <alignment vertical="center" wrapText="1"/>
    </xf>
    <xf numFmtId="0" fontId="74" fillId="0" borderId="3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horizontal="center" vertical="center" wrapText="1"/>
    </xf>
    <xf numFmtId="0" fontId="76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vertical="center"/>
    </xf>
    <xf numFmtId="0" fontId="77" fillId="0" borderId="3" xfId="0" applyFont="1" applyFill="1" applyBorder="1" applyAlignment="1">
      <alignment vertical="center"/>
    </xf>
    <xf numFmtId="0" fontId="75" fillId="0" borderId="3" xfId="0" applyFont="1" applyFill="1" applyBorder="1" applyAlignment="1">
      <alignment vertical="center" wrapText="1"/>
    </xf>
    <xf numFmtId="0" fontId="75" fillId="0" borderId="3" xfId="0" applyFont="1" applyFill="1" applyBorder="1" applyAlignment="1">
      <alignment horizontal="center" vertical="center" wrapText="1"/>
    </xf>
    <xf numFmtId="0" fontId="79" fillId="0" borderId="3" xfId="0" applyFont="1" applyFill="1" applyBorder="1" applyAlignment="1">
      <alignment horizontal="left" vertical="center"/>
    </xf>
    <xf numFmtId="49" fontId="67" fillId="0" borderId="3" xfId="0" applyNumberFormat="1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left" vertical="center"/>
    </xf>
    <xf numFmtId="49" fontId="74" fillId="0" borderId="3" xfId="0" applyNumberFormat="1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horizontal="center" vertical="center"/>
    </xf>
    <xf numFmtId="49" fontId="66" fillId="0" borderId="3" xfId="0" applyNumberFormat="1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left" vertical="center"/>
    </xf>
    <xf numFmtId="49" fontId="65" fillId="0" borderId="3" xfId="0" applyNumberFormat="1" applyFont="1" applyFill="1" applyBorder="1" applyAlignment="1">
      <alignment horizontal="center" vertical="center"/>
    </xf>
    <xf numFmtId="0" fontId="79" fillId="0" borderId="3" xfId="0" quotePrefix="1" applyFont="1" applyFill="1" applyBorder="1" applyAlignment="1">
      <alignment horizontal="center" vertical="center"/>
    </xf>
    <xf numFmtId="0" fontId="75" fillId="0" borderId="3" xfId="0" quotePrefix="1" applyFont="1" applyFill="1" applyBorder="1" applyAlignment="1">
      <alignment horizontal="center" vertical="center"/>
    </xf>
    <xf numFmtId="178" fontId="76" fillId="0" borderId="3" xfId="0" applyNumberFormat="1" applyFont="1" applyFill="1" applyBorder="1" applyAlignment="1">
      <alignment horizontal="center" vertical="center" wrapText="1"/>
    </xf>
    <xf numFmtId="179" fontId="64" fillId="0" borderId="3" xfId="0" applyNumberFormat="1" applyFont="1" applyFill="1" applyBorder="1" applyAlignment="1">
      <alignment horizontal="center" vertical="center"/>
    </xf>
    <xf numFmtId="179" fontId="64" fillId="0" borderId="3" xfId="0" applyNumberFormat="1" applyFont="1" applyFill="1" applyBorder="1" applyAlignment="1">
      <alignment horizontal="right" vertical="center"/>
    </xf>
    <xf numFmtId="178" fontId="74" fillId="0" borderId="3" xfId="0" applyNumberFormat="1" applyFont="1" applyFill="1" applyBorder="1" applyAlignment="1">
      <alignment vertical="center" wrapText="1"/>
    </xf>
    <xf numFmtId="49" fontId="81" fillId="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horizontal="left" vertical="center"/>
    </xf>
    <xf numFmtId="49" fontId="78" fillId="0" borderId="3" xfId="0" applyNumberFormat="1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horizontal="center" vertical="center" wrapText="1"/>
    </xf>
    <xf numFmtId="0" fontId="64" fillId="0" borderId="0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center" vertical="center"/>
    </xf>
    <xf numFmtId="0" fontId="78" fillId="0" borderId="3" xfId="0" applyFont="1" applyFill="1" applyBorder="1" applyAlignment="1">
      <alignment vertical="center" wrapText="1"/>
    </xf>
    <xf numFmtId="0" fontId="67" fillId="0" borderId="3" xfId="0" applyFont="1" applyFill="1" applyBorder="1" applyAlignment="1">
      <alignment horizontal="center" vertical="center"/>
    </xf>
    <xf numFmtId="0" fontId="83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horizontal="center" vertical="center"/>
    </xf>
    <xf numFmtId="169" fontId="66" fillId="0" borderId="3" xfId="0" applyNumberFormat="1" applyFont="1" applyFill="1" applyBorder="1" applyAlignment="1">
      <alignment horizontal="center" vertical="center"/>
    </xf>
    <xf numFmtId="169" fontId="74" fillId="0" borderId="3" xfId="0" applyNumberFormat="1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vertical="center" wrapText="1"/>
    </xf>
    <xf numFmtId="178" fontId="64" fillId="0" borderId="3" xfId="0" applyNumberFormat="1" applyFont="1" applyFill="1" applyBorder="1" applyAlignment="1">
      <alignment vertical="center" wrapText="1"/>
    </xf>
    <xf numFmtId="170" fontId="74" fillId="0" borderId="3" xfId="0" applyNumberFormat="1" applyFont="1" applyFill="1" applyBorder="1" applyAlignment="1">
      <alignment vertical="center" wrapText="1"/>
    </xf>
    <xf numFmtId="0" fontId="74" fillId="0" borderId="3" xfId="0" applyFont="1" applyFill="1" applyBorder="1" applyAlignment="1">
      <alignment vertical="center"/>
    </xf>
    <xf numFmtId="0" fontId="93" fillId="0" borderId="3" xfId="0" applyFont="1" applyFill="1" applyBorder="1" applyAlignment="1">
      <alignment vertical="center"/>
    </xf>
    <xf numFmtId="170" fontId="66" fillId="0" borderId="3" xfId="0" applyNumberFormat="1" applyFont="1" applyFill="1" applyBorder="1" applyAlignment="1">
      <alignment vertical="center" wrapText="1"/>
    </xf>
    <xf numFmtId="170" fontId="66" fillId="0" borderId="3" xfId="0" applyNumberFormat="1" applyFont="1" applyFill="1" applyBorder="1" applyAlignment="1">
      <alignment horizontal="right" vertical="center" wrapText="1"/>
    </xf>
    <xf numFmtId="0" fontId="84" fillId="0" borderId="3" xfId="0" applyFont="1" applyFill="1" applyBorder="1" applyAlignment="1">
      <alignment vertical="center"/>
    </xf>
    <xf numFmtId="0" fontId="66" fillId="0" borderId="0" xfId="0" quotePrefix="1" applyFont="1" applyFill="1" applyBorder="1" applyAlignment="1">
      <alignment horizontal="center" vertical="center"/>
    </xf>
    <xf numFmtId="0" fontId="66" fillId="0" borderId="13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vertical="center"/>
    </xf>
    <xf numFmtId="0" fontId="63" fillId="0" borderId="0" xfId="0" applyFont="1" applyFill="1" applyAlignment="1">
      <alignment horizontal="left" vertical="center"/>
    </xf>
    <xf numFmtId="0" fontId="69" fillId="0" borderId="0" xfId="0" applyFont="1" applyFill="1" applyAlignment="1">
      <alignment horizontal="center" vertical="center"/>
    </xf>
    <xf numFmtId="0" fontId="63" fillId="0" borderId="3" xfId="0" applyFont="1" applyFill="1" applyBorder="1" applyAlignment="1">
      <alignment horizontal="center" vertical="center"/>
    </xf>
    <xf numFmtId="0" fontId="68" fillId="0" borderId="3" xfId="0" applyFont="1" applyFill="1" applyBorder="1" applyAlignment="1">
      <alignment horizontal="center" vertical="center" wrapText="1"/>
    </xf>
    <xf numFmtId="0" fontId="67" fillId="0" borderId="3" xfId="182" applyFont="1" applyFill="1" applyBorder="1" applyAlignment="1">
      <alignment vertical="center" wrapText="1"/>
      <protection locked="0"/>
    </xf>
    <xf numFmtId="0" fontId="63" fillId="0" borderId="3" xfId="0" applyFont="1" applyFill="1" applyBorder="1" applyAlignment="1">
      <alignment horizontal="left"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95" fillId="0" borderId="3" xfId="0" applyNumberFormat="1" applyFont="1" applyFill="1" applyBorder="1" applyAlignment="1">
      <alignment horizontal="center" vertical="center" wrapText="1"/>
    </xf>
    <xf numFmtId="0" fontId="63" fillId="0" borderId="3" xfId="182" applyFont="1" applyFill="1" applyBorder="1" applyAlignment="1">
      <alignment vertical="center" wrapText="1"/>
      <protection locked="0"/>
    </xf>
    <xf numFmtId="170" fontId="96" fillId="0" borderId="3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vertical="center"/>
    </xf>
    <xf numFmtId="0" fontId="67" fillId="0" borderId="3" xfId="0" applyFont="1" applyFill="1" applyBorder="1" applyAlignment="1">
      <alignment horizontal="center" vertical="center" wrapText="1"/>
    </xf>
    <xf numFmtId="170" fontId="63" fillId="0" borderId="3" xfId="0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7" fillId="0" borderId="3" xfId="245" applyFont="1" applyFill="1" applyBorder="1" applyAlignment="1">
      <alignment horizontal="left" vertical="center" wrapText="1"/>
    </xf>
    <xf numFmtId="0" fontId="63" fillId="0" borderId="3" xfId="245" applyFont="1" applyFill="1" applyBorder="1" applyAlignment="1">
      <alignment horizontal="left" vertical="center" wrapText="1"/>
    </xf>
    <xf numFmtId="0" fontId="67" fillId="0" borderId="3" xfId="0" applyFont="1" applyFill="1" applyBorder="1" applyAlignment="1" applyProtection="1">
      <alignment horizontal="left" vertical="center" wrapText="1"/>
      <protection locked="0"/>
    </xf>
    <xf numFmtId="0" fontId="67" fillId="0" borderId="3" xfId="0" applyFont="1" applyFill="1" applyBorder="1" applyAlignment="1" applyProtection="1">
      <alignment horizontal="center" vertical="center" wrapText="1"/>
      <protection locked="0"/>
    </xf>
    <xf numFmtId="180" fontId="67" fillId="0" borderId="3" xfId="0" applyNumberFormat="1" applyFont="1" applyFill="1" applyBorder="1" applyAlignment="1">
      <alignment horizontal="center" vertical="center" wrapText="1"/>
    </xf>
    <xf numFmtId="180" fontId="63" fillId="0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left" vertical="center" wrapText="1"/>
    </xf>
    <xf numFmtId="0" fontId="69" fillId="0" borderId="3" xfId="0" applyFont="1" applyFill="1" applyBorder="1" applyAlignment="1">
      <alignment horizontal="center" vertical="center"/>
    </xf>
    <xf numFmtId="180" fontId="69" fillId="0" borderId="3" xfId="0" applyNumberFormat="1" applyFont="1" applyFill="1" applyBorder="1" applyAlignment="1">
      <alignment horizontal="center" vertical="center" wrapText="1"/>
    </xf>
    <xf numFmtId="180" fontId="95" fillId="0" borderId="3" xfId="0" applyNumberFormat="1" applyFont="1" applyFill="1" applyBorder="1" applyAlignment="1">
      <alignment horizontal="center" vertical="center" wrapText="1"/>
    </xf>
    <xf numFmtId="0" fontId="63" fillId="0" borderId="3" xfId="0" applyFont="1" applyFill="1" applyBorder="1" applyAlignment="1" applyProtection="1">
      <alignment horizontal="left" vertical="center" wrapText="1"/>
      <protection locked="0"/>
    </xf>
    <xf numFmtId="0" fontId="69" fillId="0" borderId="3" xfId="0" applyFont="1" applyFill="1" applyBorder="1" applyAlignment="1">
      <alignment horizontal="center" vertical="center" wrapText="1"/>
    </xf>
    <xf numFmtId="180" fontId="96" fillId="0" borderId="3" xfId="0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 applyProtection="1">
      <alignment horizontal="center" vertical="center"/>
      <protection locked="0"/>
    </xf>
    <xf numFmtId="0" fontId="68" fillId="0" borderId="3" xfId="0" applyFont="1" applyFill="1" applyBorder="1" applyAlignment="1">
      <alignment horizontal="center" vertical="center"/>
    </xf>
    <xf numFmtId="177" fontId="67" fillId="0" borderId="3" xfId="0" applyNumberFormat="1" applyFont="1" applyFill="1" applyBorder="1" applyAlignment="1">
      <alignment horizontal="center" vertical="center" wrapText="1"/>
    </xf>
    <xf numFmtId="170" fontId="67" fillId="0" borderId="3" xfId="0" applyNumberFormat="1" applyFont="1" applyFill="1" applyBorder="1" applyAlignment="1">
      <alignment horizontal="center" vertical="center" wrapText="1"/>
    </xf>
    <xf numFmtId="177" fontId="63" fillId="0" borderId="3" xfId="0" applyNumberFormat="1" applyFont="1" applyFill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vertical="center"/>
    </xf>
    <xf numFmtId="177" fontId="63" fillId="0" borderId="0" xfId="0" applyNumberFormat="1" applyFont="1" applyFill="1" applyBorder="1" applyAlignment="1">
      <alignment vertical="center"/>
    </xf>
    <xf numFmtId="170" fontId="63" fillId="0" borderId="3" xfId="0" applyNumberFormat="1" applyFont="1" applyFill="1" applyBorder="1" applyAlignment="1">
      <alignment horizontal="right" vertical="center" wrapText="1"/>
    </xf>
    <xf numFmtId="2" fontId="63" fillId="0" borderId="0" xfId="0" applyNumberFormat="1" applyFont="1" applyFill="1" applyBorder="1" applyAlignment="1">
      <alignment vertical="center"/>
    </xf>
    <xf numFmtId="179" fontId="63" fillId="0" borderId="0" xfId="0" applyNumberFormat="1" applyFont="1" applyFill="1" applyBorder="1" applyAlignment="1">
      <alignment horizontal="center" vertical="center"/>
    </xf>
    <xf numFmtId="0" fontId="67" fillId="0" borderId="0" xfId="0" applyFont="1" applyFill="1" applyBorder="1" applyAlignment="1" applyProtection="1">
      <alignment horizontal="left" vertical="center"/>
      <protection locked="0"/>
    </xf>
    <xf numFmtId="170" fontId="67" fillId="0" borderId="0" xfId="0" applyNumberFormat="1" applyFont="1" applyFill="1" applyBorder="1" applyAlignment="1">
      <alignment horizontal="center" vertical="center" wrapText="1"/>
    </xf>
    <xf numFmtId="170" fontId="67" fillId="0" borderId="0" xfId="0" applyNumberFormat="1" applyFont="1" applyFill="1" applyBorder="1" applyAlignment="1">
      <alignment horizontal="right" vertical="center" wrapText="1"/>
    </xf>
    <xf numFmtId="170" fontId="63" fillId="0" borderId="0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horizontal="center" vertical="center"/>
    </xf>
    <xf numFmtId="0" fontId="67" fillId="0" borderId="13" xfId="0" applyFont="1" applyFill="1" applyBorder="1" applyAlignment="1">
      <alignment horizontal="center" wrapText="1"/>
    </xf>
    <xf numFmtId="0" fontId="63" fillId="0" borderId="0" xfId="0" quotePrefix="1" applyFont="1" applyFill="1" applyBorder="1" applyAlignment="1">
      <alignment horizontal="center" vertical="center"/>
    </xf>
    <xf numFmtId="170" fontId="63" fillId="0" borderId="13" xfId="0" applyNumberFormat="1" applyFont="1" applyFill="1" applyBorder="1" applyAlignment="1">
      <alignment horizontal="center" vertical="center" wrapText="1"/>
    </xf>
    <xf numFmtId="170" fontId="63" fillId="0" borderId="13" xfId="0" quotePrefix="1" applyNumberFormat="1" applyFont="1" applyFill="1" applyBorder="1" applyAlignment="1">
      <alignment horizontal="center" vertical="center" wrapText="1"/>
    </xf>
    <xf numFmtId="170" fontId="69" fillId="0" borderId="0" xfId="0" applyNumberFormat="1" applyFont="1" applyFill="1" applyBorder="1" applyAlignment="1">
      <alignment vertical="center"/>
    </xf>
    <xf numFmtId="0" fontId="64" fillId="0" borderId="0" xfId="0" applyFont="1" applyFill="1" applyBorder="1" applyAlignment="1"/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0" fontId="63" fillId="0" borderId="0" xfId="0" applyFont="1" applyFill="1" applyBorder="1" applyAlignment="1">
      <alignment vertical="center" wrapText="1"/>
    </xf>
  </cellXfs>
  <cellStyles count="356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5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" xfId="354" builtinId="3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T300"/>
  <sheetViews>
    <sheetView tabSelected="1" view="pageBreakPreview" topLeftCell="A4" zoomScale="75" zoomScaleNormal="75" zoomScaleSheetLayoutView="75" workbookViewId="0">
      <selection activeCell="J16" sqref="J16"/>
    </sheetView>
  </sheetViews>
  <sheetFormatPr defaultColWidth="9.140625" defaultRowHeight="20.25"/>
  <cols>
    <col min="1" max="1" width="65.42578125" style="347" customWidth="1"/>
    <col min="2" max="2" width="17.28515625" style="94" customWidth="1"/>
    <col min="3" max="4" width="18" style="94" customWidth="1"/>
    <col min="5" max="5" width="18.7109375" style="347" customWidth="1"/>
    <col min="6" max="6" width="19" style="347" customWidth="1"/>
    <col min="7" max="7" width="18.7109375" style="347" customWidth="1"/>
    <col min="8" max="8" width="19.7109375" style="347" customWidth="1"/>
    <col min="9" max="9" width="29.28515625" style="347" customWidth="1"/>
    <col min="10" max="10" width="23.28515625" style="347" customWidth="1"/>
    <col min="11" max="11" width="12.140625" style="347" customWidth="1"/>
    <col min="12" max="12" width="22" style="347" customWidth="1"/>
    <col min="13" max="13" width="17" style="347" customWidth="1"/>
    <col min="14" max="15" width="11.7109375" style="347" customWidth="1"/>
    <col min="16" max="16" width="9.140625" style="347"/>
    <col min="17" max="17" width="11.42578125" style="347" bestFit="1" customWidth="1"/>
    <col min="18" max="19" width="9.140625" style="347"/>
    <col min="20" max="20" width="11.140625" style="347" bestFit="1" customWidth="1"/>
    <col min="21" max="16384" width="9.140625" style="347"/>
  </cols>
  <sheetData>
    <row r="1" spans="1:16" ht="103.5" customHeight="1">
      <c r="A1" s="345" t="s">
        <v>714</v>
      </c>
      <c r="B1" s="346"/>
      <c r="C1" s="346"/>
      <c r="D1" s="346"/>
      <c r="E1" s="346"/>
      <c r="F1" s="346"/>
      <c r="G1" s="346"/>
      <c r="H1" s="346"/>
    </row>
    <row r="2" spans="1:16" ht="30" customHeight="1">
      <c r="A2" s="346" t="s">
        <v>18</v>
      </c>
      <c r="B2" s="346"/>
      <c r="C2" s="346"/>
      <c r="D2" s="346"/>
      <c r="E2" s="346"/>
      <c r="F2" s="346"/>
      <c r="G2" s="346"/>
      <c r="H2" s="346"/>
    </row>
    <row r="3" spans="1:16" ht="23.25" customHeight="1">
      <c r="B3" s="348"/>
      <c r="C3" s="196"/>
      <c r="D3" s="348"/>
      <c r="E3" s="348"/>
      <c r="F3" s="348"/>
      <c r="G3" s="348"/>
      <c r="H3" s="349" t="s">
        <v>56</v>
      </c>
    </row>
    <row r="4" spans="1:16" ht="66.75" customHeight="1">
      <c r="A4" s="350" t="s">
        <v>23</v>
      </c>
      <c r="B4" s="212" t="s">
        <v>5</v>
      </c>
      <c r="C4" s="212" t="s">
        <v>119</v>
      </c>
      <c r="D4" s="212"/>
      <c r="E4" s="350" t="s">
        <v>517</v>
      </c>
      <c r="F4" s="350"/>
      <c r="G4" s="350"/>
      <c r="H4" s="350"/>
    </row>
    <row r="5" spans="1:16" ht="47.25" customHeight="1">
      <c r="A5" s="350"/>
      <c r="B5" s="212"/>
      <c r="C5" s="197" t="s">
        <v>515</v>
      </c>
      <c r="D5" s="197" t="s">
        <v>516</v>
      </c>
      <c r="E5" s="149" t="s">
        <v>106</v>
      </c>
      <c r="F5" s="149" t="s">
        <v>107</v>
      </c>
      <c r="G5" s="149" t="s">
        <v>108</v>
      </c>
      <c r="H5" s="149" t="s">
        <v>109</v>
      </c>
    </row>
    <row r="6" spans="1:16" ht="29.25" customHeight="1">
      <c r="A6" s="100">
        <v>1</v>
      </c>
      <c r="B6" s="197">
        <v>2</v>
      </c>
      <c r="C6" s="197">
        <v>3</v>
      </c>
      <c r="D6" s="197">
        <v>5</v>
      </c>
      <c r="E6" s="197">
        <v>7</v>
      </c>
      <c r="F6" s="197">
        <v>8</v>
      </c>
      <c r="G6" s="197">
        <v>9</v>
      </c>
      <c r="H6" s="197">
        <v>10</v>
      </c>
    </row>
    <row r="7" spans="1:16" ht="33" customHeight="1">
      <c r="A7" s="351" t="s">
        <v>97</v>
      </c>
      <c r="B7" s="351"/>
      <c r="C7" s="351"/>
      <c r="D7" s="351"/>
      <c r="E7" s="351"/>
      <c r="F7" s="351"/>
      <c r="G7" s="351"/>
      <c r="H7" s="351"/>
      <c r="L7" s="49"/>
      <c r="M7" s="49"/>
      <c r="N7" s="89"/>
      <c r="O7" s="89"/>
      <c r="P7" s="89"/>
    </row>
    <row r="8" spans="1:16" ht="48.75" customHeight="1">
      <c r="A8" s="352" t="s">
        <v>120</v>
      </c>
      <c r="B8" s="329">
        <v>1000</v>
      </c>
      <c r="C8" s="103">
        <v>74178.7</v>
      </c>
      <c r="D8" s="103">
        <v>86185.3</v>
      </c>
      <c r="E8" s="103">
        <v>78786.7</v>
      </c>
      <c r="F8" s="103">
        <f>D8</f>
        <v>86185.3</v>
      </c>
      <c r="G8" s="103">
        <f>F8-E8</f>
        <v>7398.6000000000058</v>
      </c>
      <c r="H8" s="103">
        <f>(F8/E8)*100</f>
        <v>109.39067126812014</v>
      </c>
      <c r="L8" s="49"/>
      <c r="M8" s="49"/>
      <c r="N8" s="86"/>
      <c r="O8" s="86"/>
      <c r="P8" s="86"/>
    </row>
    <row r="9" spans="1:16" ht="47.25" customHeight="1">
      <c r="A9" s="352" t="s">
        <v>66</v>
      </c>
      <c r="B9" s="329">
        <v>1010</v>
      </c>
      <c r="C9" s="103">
        <f>SUM(C10:C14)</f>
        <v>-82013.899999999994</v>
      </c>
      <c r="D9" s="103">
        <f>SUM(D10:D14)</f>
        <v>-100085.9</v>
      </c>
      <c r="E9" s="103">
        <f>SUM(E10:E14)</f>
        <v>-86073.400000000009</v>
      </c>
      <c r="F9" s="103">
        <f t="shared" ref="F9:F43" si="0">D9</f>
        <v>-100085.9</v>
      </c>
      <c r="G9" s="103">
        <f t="shared" ref="G9:G43" si="1">F9-E9</f>
        <v>-14012.499999999985</v>
      </c>
      <c r="H9" s="103">
        <f t="shared" ref="H9:H43" si="2">(F9/E9)*100</f>
        <v>116.27971010788465</v>
      </c>
      <c r="L9" s="49"/>
      <c r="M9" s="49"/>
      <c r="N9" s="259"/>
      <c r="O9" s="259"/>
      <c r="P9" s="259"/>
    </row>
    <row r="10" spans="1:16" ht="30" customHeight="1">
      <c r="A10" s="353" t="s">
        <v>67</v>
      </c>
      <c r="B10" s="100">
        <v>1011</v>
      </c>
      <c r="C10" s="354">
        <v>-16330.2</v>
      </c>
      <c r="D10" s="354">
        <v>-15711.7</v>
      </c>
      <c r="E10" s="354">
        <v>-13093.5</v>
      </c>
      <c r="F10" s="354">
        <f t="shared" si="0"/>
        <v>-15711.7</v>
      </c>
      <c r="G10" s="354">
        <f t="shared" si="1"/>
        <v>-2618.2000000000007</v>
      </c>
      <c r="H10" s="354">
        <f t="shared" si="2"/>
        <v>119.99618131133769</v>
      </c>
      <c r="L10" s="49"/>
      <c r="M10" s="264"/>
      <c r="N10" s="265"/>
      <c r="O10" s="265"/>
      <c r="P10" s="265"/>
    </row>
    <row r="11" spans="1:16" ht="28.5" customHeight="1">
      <c r="A11" s="353" t="s">
        <v>2</v>
      </c>
      <c r="B11" s="100">
        <v>1012</v>
      </c>
      <c r="C11" s="354">
        <v>-46545.7</v>
      </c>
      <c r="D11" s="354">
        <v>-59858.3</v>
      </c>
      <c r="E11" s="354">
        <v>-50440.1</v>
      </c>
      <c r="F11" s="354">
        <f t="shared" si="0"/>
        <v>-59858.3</v>
      </c>
      <c r="G11" s="354">
        <f t="shared" si="1"/>
        <v>-9418.2000000000044</v>
      </c>
      <c r="H11" s="354">
        <f t="shared" si="2"/>
        <v>118.67204862797655</v>
      </c>
      <c r="L11" s="49"/>
      <c r="M11" s="264"/>
      <c r="N11" s="267"/>
      <c r="O11" s="267"/>
      <c r="P11" s="267"/>
    </row>
    <row r="12" spans="1:16" ht="29.25" customHeight="1">
      <c r="A12" s="353" t="s">
        <v>3</v>
      </c>
      <c r="B12" s="100">
        <v>1013</v>
      </c>
      <c r="C12" s="354">
        <v>-9812.1</v>
      </c>
      <c r="D12" s="354">
        <v>-12631.7</v>
      </c>
      <c r="E12" s="354">
        <v>-10845</v>
      </c>
      <c r="F12" s="354">
        <f t="shared" si="0"/>
        <v>-12631.7</v>
      </c>
      <c r="G12" s="354">
        <f t="shared" si="1"/>
        <v>-1786.7000000000007</v>
      </c>
      <c r="H12" s="354">
        <f t="shared" si="2"/>
        <v>116.47487321346244</v>
      </c>
      <c r="L12" s="49"/>
      <c r="M12" s="264"/>
      <c r="N12" s="267"/>
      <c r="O12" s="267"/>
      <c r="P12" s="267"/>
    </row>
    <row r="13" spans="1:16" ht="29.25" customHeight="1">
      <c r="A13" s="353" t="s">
        <v>4</v>
      </c>
      <c r="B13" s="100">
        <v>1014</v>
      </c>
      <c r="C13" s="354">
        <v>-1829.4</v>
      </c>
      <c r="D13" s="354">
        <v>-2466.8000000000002</v>
      </c>
      <c r="E13" s="354"/>
      <c r="F13" s="354">
        <f t="shared" si="0"/>
        <v>-2466.8000000000002</v>
      </c>
      <c r="G13" s="354">
        <f t="shared" si="1"/>
        <v>-2466.8000000000002</v>
      </c>
      <c r="H13" s="355" t="e">
        <f t="shared" si="2"/>
        <v>#DIV/0!</v>
      </c>
      <c r="L13" s="49"/>
      <c r="M13" s="264"/>
      <c r="N13" s="267"/>
      <c r="O13" s="267"/>
      <c r="P13" s="267"/>
    </row>
    <row r="14" spans="1:16" ht="30" customHeight="1">
      <c r="A14" s="353" t="s">
        <v>49</v>
      </c>
      <c r="B14" s="100">
        <v>1015</v>
      </c>
      <c r="C14" s="354">
        <v>-7496.5</v>
      </c>
      <c r="D14" s="354">
        <v>-9417.4</v>
      </c>
      <c r="E14" s="354">
        <v>-11694.8</v>
      </c>
      <c r="F14" s="354">
        <f t="shared" si="0"/>
        <v>-9417.4</v>
      </c>
      <c r="G14" s="354">
        <f t="shared" si="1"/>
        <v>2277.3999999999996</v>
      </c>
      <c r="H14" s="354">
        <f t="shared" si="2"/>
        <v>80.526387796285519</v>
      </c>
      <c r="L14" s="49"/>
      <c r="M14" s="264"/>
      <c r="N14" s="267"/>
      <c r="O14" s="267"/>
      <c r="P14" s="267"/>
    </row>
    <row r="15" spans="1:16" ht="28.5" customHeight="1">
      <c r="A15" s="352" t="s">
        <v>25</v>
      </c>
      <c r="B15" s="100">
        <v>1020</v>
      </c>
      <c r="C15" s="103">
        <f>SUM(C8:C9)</f>
        <v>-7835.1999999999971</v>
      </c>
      <c r="D15" s="103">
        <f>SUM(D8:D9)</f>
        <v>-13900.599999999991</v>
      </c>
      <c r="E15" s="103">
        <f>SUM(E8:E9)</f>
        <v>-7286.7000000000116</v>
      </c>
      <c r="F15" s="103">
        <f t="shared" si="0"/>
        <v>-13900.599999999991</v>
      </c>
      <c r="G15" s="103">
        <f t="shared" si="1"/>
        <v>-6613.8999999999796</v>
      </c>
      <c r="H15" s="103">
        <f t="shared" si="2"/>
        <v>190.76673940192364</v>
      </c>
    </row>
    <row r="16" spans="1:16" ht="40.5" customHeight="1">
      <c r="A16" s="352" t="s">
        <v>88</v>
      </c>
      <c r="B16" s="329">
        <v>1020</v>
      </c>
      <c r="C16" s="103">
        <f>SUM(C17:C21)</f>
        <v>-8669.9000000000015</v>
      </c>
      <c r="D16" s="103">
        <f>SUM(D17:D21)</f>
        <v>-7447.9999999999991</v>
      </c>
      <c r="E16" s="103">
        <f>SUM(E17:E21)</f>
        <v>-4744.5</v>
      </c>
      <c r="F16" s="103">
        <f t="shared" si="0"/>
        <v>-7447.9999999999991</v>
      </c>
      <c r="G16" s="103">
        <f t="shared" si="1"/>
        <v>-2703.4999999999991</v>
      </c>
      <c r="H16" s="103">
        <f t="shared" si="2"/>
        <v>156.9817683633681</v>
      </c>
    </row>
    <row r="17" spans="1:12" ht="27.75" customHeight="1">
      <c r="A17" s="353" t="s">
        <v>67</v>
      </c>
      <c r="B17" s="100">
        <v>1021</v>
      </c>
      <c r="C17" s="354">
        <v>-83.5</v>
      </c>
      <c r="D17" s="354">
        <v>-35.700000000000003</v>
      </c>
      <c r="E17" s="354">
        <v>-52</v>
      </c>
      <c r="F17" s="354">
        <f t="shared" si="0"/>
        <v>-35.700000000000003</v>
      </c>
      <c r="G17" s="354">
        <f t="shared" si="1"/>
        <v>16.299999999999997</v>
      </c>
      <c r="H17" s="354">
        <f t="shared" si="2"/>
        <v>68.65384615384616</v>
      </c>
    </row>
    <row r="18" spans="1:12" ht="27.75" customHeight="1">
      <c r="A18" s="353" t="s">
        <v>2</v>
      </c>
      <c r="B18" s="100">
        <v>1022</v>
      </c>
      <c r="C18" s="354">
        <v>-6402.3</v>
      </c>
      <c r="D18" s="354">
        <v>-4420.7</v>
      </c>
      <c r="E18" s="354">
        <v>-3624</v>
      </c>
      <c r="F18" s="354">
        <f t="shared" si="0"/>
        <v>-4420.7</v>
      </c>
      <c r="G18" s="354">
        <f t="shared" si="1"/>
        <v>-796.69999999999982</v>
      </c>
      <c r="H18" s="354">
        <f t="shared" si="2"/>
        <v>121.98399558498896</v>
      </c>
    </row>
    <row r="19" spans="1:12" ht="27.75" customHeight="1">
      <c r="A19" s="353" t="s">
        <v>3</v>
      </c>
      <c r="B19" s="100">
        <v>1023</v>
      </c>
      <c r="C19" s="354">
        <v>-1417.8</v>
      </c>
      <c r="D19" s="354">
        <v>-906.5</v>
      </c>
      <c r="E19" s="354">
        <v>-779.2</v>
      </c>
      <c r="F19" s="354">
        <f t="shared" si="0"/>
        <v>-906.5</v>
      </c>
      <c r="G19" s="354">
        <f t="shared" si="1"/>
        <v>-127.29999999999995</v>
      </c>
      <c r="H19" s="354">
        <f t="shared" si="2"/>
        <v>116.33726899383983</v>
      </c>
    </row>
    <row r="20" spans="1:12" ht="27.75" customHeight="1">
      <c r="A20" s="353" t="s">
        <v>4</v>
      </c>
      <c r="B20" s="100">
        <v>1024</v>
      </c>
      <c r="C20" s="354">
        <v>-245.1</v>
      </c>
      <c r="D20" s="354">
        <v>-1297.7</v>
      </c>
      <c r="E20" s="354"/>
      <c r="F20" s="354">
        <f t="shared" si="0"/>
        <v>-1297.7</v>
      </c>
      <c r="G20" s="354">
        <f t="shared" si="1"/>
        <v>-1297.7</v>
      </c>
      <c r="H20" s="355" t="e">
        <f t="shared" si="2"/>
        <v>#DIV/0!</v>
      </c>
    </row>
    <row r="21" spans="1:12" ht="27.75" customHeight="1">
      <c r="A21" s="353" t="s">
        <v>68</v>
      </c>
      <c r="B21" s="100">
        <v>1025</v>
      </c>
      <c r="C21" s="354">
        <v>-521.20000000000005</v>
      </c>
      <c r="D21" s="354">
        <v>-787.4</v>
      </c>
      <c r="E21" s="354">
        <v>-289.3</v>
      </c>
      <c r="F21" s="354">
        <f t="shared" si="0"/>
        <v>-787.4</v>
      </c>
      <c r="G21" s="354">
        <f t="shared" si="1"/>
        <v>-498.09999999999997</v>
      </c>
      <c r="H21" s="354">
        <f t="shared" si="2"/>
        <v>272.17421361908055</v>
      </c>
      <c r="L21" s="347" t="s">
        <v>240</v>
      </c>
    </row>
    <row r="22" spans="1:12" ht="35.25" customHeight="1">
      <c r="A22" s="352" t="s">
        <v>35</v>
      </c>
      <c r="B22" s="329">
        <v>1040</v>
      </c>
      <c r="C22" s="103">
        <f>SUM(C23:C24)</f>
        <v>18811.099999999999</v>
      </c>
      <c r="D22" s="103">
        <f>SUM(D23:D24)</f>
        <v>18354.3</v>
      </c>
      <c r="E22" s="103">
        <f>SUM(E23:E24)</f>
        <v>12390.5</v>
      </c>
      <c r="F22" s="103">
        <f t="shared" si="0"/>
        <v>18354.3</v>
      </c>
      <c r="G22" s="103">
        <f t="shared" si="1"/>
        <v>5963.7999999999993</v>
      </c>
      <c r="H22" s="103">
        <f t="shared" si="2"/>
        <v>148.13203664097495</v>
      </c>
    </row>
    <row r="23" spans="1:12" ht="26.25" customHeight="1">
      <c r="A23" s="353" t="s">
        <v>36</v>
      </c>
      <c r="B23" s="100">
        <v>1041</v>
      </c>
      <c r="C23" s="354"/>
      <c r="D23" s="354"/>
      <c r="E23" s="354"/>
      <c r="F23" s="103">
        <f t="shared" si="0"/>
        <v>0</v>
      </c>
      <c r="G23" s="354">
        <f t="shared" si="1"/>
        <v>0</v>
      </c>
      <c r="H23" s="355" t="e">
        <f t="shared" si="2"/>
        <v>#DIV/0!</v>
      </c>
    </row>
    <row r="24" spans="1:12" ht="27.75" customHeight="1">
      <c r="A24" s="353" t="s">
        <v>37</v>
      </c>
      <c r="B24" s="100">
        <v>1042</v>
      </c>
      <c r="C24" s="354">
        <v>18811.099999999999</v>
      </c>
      <c r="D24" s="354">
        <v>18354.3</v>
      </c>
      <c r="E24" s="354">
        <v>12390.5</v>
      </c>
      <c r="F24" s="103">
        <f t="shared" si="0"/>
        <v>18354.3</v>
      </c>
      <c r="G24" s="354">
        <f t="shared" si="1"/>
        <v>5963.7999999999993</v>
      </c>
      <c r="H24" s="354">
        <f t="shared" si="2"/>
        <v>148.13203664097495</v>
      </c>
    </row>
    <row r="25" spans="1:12" ht="40.5" customHeight="1">
      <c r="A25" s="352" t="s">
        <v>12</v>
      </c>
      <c r="B25" s="329">
        <v>1030</v>
      </c>
      <c r="C25" s="103">
        <f>SUM(C26:C30)</f>
        <v>-654.5</v>
      </c>
      <c r="D25" s="103">
        <f>SUM(D26:D30)</f>
        <v>-974.2</v>
      </c>
      <c r="E25" s="103">
        <f>SUM(E26:E30)</f>
        <v>-383.9</v>
      </c>
      <c r="F25" s="103">
        <f t="shared" si="0"/>
        <v>-974.2</v>
      </c>
      <c r="G25" s="103">
        <f t="shared" si="1"/>
        <v>-590.30000000000007</v>
      </c>
      <c r="H25" s="103">
        <f t="shared" si="2"/>
        <v>253.764001041938</v>
      </c>
    </row>
    <row r="26" spans="1:12" ht="27.75" customHeight="1">
      <c r="A26" s="353" t="s">
        <v>67</v>
      </c>
      <c r="B26" s="100">
        <v>1031</v>
      </c>
      <c r="C26" s="354"/>
      <c r="D26" s="354"/>
      <c r="E26" s="354" t="s">
        <v>26</v>
      </c>
      <c r="F26" s="354">
        <f t="shared" si="0"/>
        <v>0</v>
      </c>
      <c r="G26" s="355" t="e">
        <f t="shared" si="1"/>
        <v>#VALUE!</v>
      </c>
      <c r="H26" s="355" t="e">
        <f t="shared" si="2"/>
        <v>#VALUE!</v>
      </c>
    </row>
    <row r="27" spans="1:12" ht="27.75" customHeight="1">
      <c r="A27" s="353" t="s">
        <v>2</v>
      </c>
      <c r="B27" s="100">
        <v>1032</v>
      </c>
      <c r="C27" s="354">
        <v>-335.1</v>
      </c>
      <c r="D27" s="354">
        <v>-659.4</v>
      </c>
      <c r="E27" s="354"/>
      <c r="F27" s="354">
        <f t="shared" si="0"/>
        <v>-659.4</v>
      </c>
      <c r="G27" s="354">
        <f t="shared" si="1"/>
        <v>-659.4</v>
      </c>
      <c r="H27" s="355" t="e">
        <f t="shared" si="2"/>
        <v>#DIV/0!</v>
      </c>
    </row>
    <row r="28" spans="1:12" ht="27.75" customHeight="1">
      <c r="A28" s="353" t="s">
        <v>3</v>
      </c>
      <c r="B28" s="100">
        <v>1033</v>
      </c>
      <c r="C28" s="354">
        <v>-143.9</v>
      </c>
      <c r="D28" s="354">
        <v>-182</v>
      </c>
      <c r="E28" s="354"/>
      <c r="F28" s="354">
        <f t="shared" si="0"/>
        <v>-182</v>
      </c>
      <c r="G28" s="354">
        <f t="shared" si="1"/>
        <v>-182</v>
      </c>
      <c r="H28" s="355" t="e">
        <f t="shared" si="2"/>
        <v>#DIV/0!</v>
      </c>
    </row>
    <row r="29" spans="1:12" ht="27.75" customHeight="1">
      <c r="A29" s="353" t="s">
        <v>4</v>
      </c>
      <c r="B29" s="100">
        <v>1034</v>
      </c>
      <c r="C29" s="354"/>
      <c r="D29" s="354"/>
      <c r="E29" s="354"/>
      <c r="F29" s="354">
        <f t="shared" si="0"/>
        <v>0</v>
      </c>
      <c r="G29" s="354">
        <f t="shared" si="1"/>
        <v>0</v>
      </c>
      <c r="H29" s="355" t="e">
        <f t="shared" si="2"/>
        <v>#DIV/0!</v>
      </c>
    </row>
    <row r="30" spans="1:12" ht="27.75" customHeight="1">
      <c r="A30" s="353" t="s">
        <v>69</v>
      </c>
      <c r="B30" s="100">
        <v>1035</v>
      </c>
      <c r="C30" s="354">
        <v>-175.5</v>
      </c>
      <c r="D30" s="354">
        <v>-132.80000000000001</v>
      </c>
      <c r="E30" s="354">
        <v>-383.9</v>
      </c>
      <c r="F30" s="354">
        <f t="shared" si="0"/>
        <v>-132.80000000000001</v>
      </c>
      <c r="G30" s="354">
        <f t="shared" si="1"/>
        <v>251.09999999999997</v>
      </c>
      <c r="H30" s="354">
        <f t="shared" si="2"/>
        <v>34.592341755665544</v>
      </c>
    </row>
    <row r="31" spans="1:12" ht="47.25" customHeight="1">
      <c r="A31" s="352" t="s">
        <v>1</v>
      </c>
      <c r="B31" s="100">
        <v>1100</v>
      </c>
      <c r="C31" s="103">
        <f>SUM(C15,C16,C22,C25)</f>
        <v>1651.5</v>
      </c>
      <c r="D31" s="103">
        <f>SUM(D15,D16,D22,D25)</f>
        <v>-3968.4999999999918</v>
      </c>
      <c r="E31" s="103">
        <f>SUM(E15,E16,E22,E25)</f>
        <v>-24.600000000011619</v>
      </c>
      <c r="F31" s="103">
        <f t="shared" si="0"/>
        <v>-3968.4999999999918</v>
      </c>
      <c r="G31" s="103">
        <f t="shared" si="1"/>
        <v>-3943.8999999999801</v>
      </c>
      <c r="H31" s="103">
        <f t="shared" si="2"/>
        <v>16132.113821130559</v>
      </c>
    </row>
    <row r="32" spans="1:12" ht="27.75" customHeight="1">
      <c r="A32" s="352" t="s">
        <v>121</v>
      </c>
      <c r="B32" s="329">
        <v>1130</v>
      </c>
      <c r="C32" s="103">
        <v>30.1</v>
      </c>
      <c r="D32" s="103">
        <v>49</v>
      </c>
      <c r="E32" s="103">
        <v>24.6</v>
      </c>
      <c r="F32" s="103">
        <f t="shared" si="0"/>
        <v>49</v>
      </c>
      <c r="G32" s="103">
        <f t="shared" si="1"/>
        <v>24.4</v>
      </c>
      <c r="H32" s="103">
        <f t="shared" si="2"/>
        <v>199.18699186991867</v>
      </c>
    </row>
    <row r="33" spans="1:17" ht="27.75" customHeight="1">
      <c r="A33" s="356" t="s">
        <v>122</v>
      </c>
      <c r="B33" s="329">
        <v>1140</v>
      </c>
      <c r="C33" s="103" t="s">
        <v>26</v>
      </c>
      <c r="D33" s="103" t="s">
        <v>26</v>
      </c>
      <c r="E33" s="354" t="s">
        <v>26</v>
      </c>
      <c r="F33" s="103" t="str">
        <f t="shared" si="0"/>
        <v>(    )</v>
      </c>
      <c r="G33" s="192" t="e">
        <f t="shared" si="1"/>
        <v>#VALUE!</v>
      </c>
      <c r="H33" s="192" t="e">
        <f t="shared" si="2"/>
        <v>#VALUE!</v>
      </c>
    </row>
    <row r="34" spans="1:17" ht="27.75" customHeight="1">
      <c r="A34" s="352" t="s">
        <v>123</v>
      </c>
      <c r="B34" s="329">
        <v>1150</v>
      </c>
      <c r="C34" s="103">
        <v>1981.5</v>
      </c>
      <c r="D34" s="103">
        <v>3518.6</v>
      </c>
      <c r="E34" s="103">
        <v>0</v>
      </c>
      <c r="F34" s="103">
        <f t="shared" si="0"/>
        <v>3518.6</v>
      </c>
      <c r="G34" s="103">
        <f t="shared" si="1"/>
        <v>3518.6</v>
      </c>
      <c r="H34" s="192" t="e">
        <f t="shared" si="2"/>
        <v>#DIV/0!</v>
      </c>
    </row>
    <row r="35" spans="1:17" ht="27.75" customHeight="1">
      <c r="A35" s="352" t="s">
        <v>124</v>
      </c>
      <c r="B35" s="329">
        <v>1160</v>
      </c>
      <c r="C35" s="103" t="s">
        <v>26</v>
      </c>
      <c r="D35" s="103" t="s">
        <v>26</v>
      </c>
      <c r="E35" s="354" t="s">
        <v>26</v>
      </c>
      <c r="F35" s="103" t="str">
        <f t="shared" si="0"/>
        <v>(    )</v>
      </c>
      <c r="G35" s="192" t="e">
        <f t="shared" si="1"/>
        <v>#VALUE!</v>
      </c>
      <c r="H35" s="192" t="e">
        <f t="shared" si="2"/>
        <v>#VALUE!</v>
      </c>
    </row>
    <row r="36" spans="1:17" ht="28.5" customHeight="1">
      <c r="A36" s="352" t="s">
        <v>15</v>
      </c>
      <c r="B36" s="329">
        <v>1170</v>
      </c>
      <c r="C36" s="103">
        <f>SUM(C31, C32:C35)</f>
        <v>3663.1</v>
      </c>
      <c r="D36" s="103">
        <f>SUM(D31, D32:D35)</f>
        <v>-400.89999999999191</v>
      </c>
      <c r="E36" s="103">
        <f>SUM(E31, E32:E35)</f>
        <v>-1.1617373729677638E-11</v>
      </c>
      <c r="F36" s="103">
        <f t="shared" si="0"/>
        <v>-400.89999999999191</v>
      </c>
      <c r="G36" s="103">
        <f t="shared" si="1"/>
        <v>-400.89999999998031</v>
      </c>
      <c r="H36" s="357">
        <f t="shared" si="2"/>
        <v>3450865998877667</v>
      </c>
    </row>
    <row r="37" spans="1:17" ht="27.75" customHeight="1">
      <c r="A37" s="356" t="s">
        <v>28</v>
      </c>
      <c r="B37" s="100">
        <v>1180</v>
      </c>
      <c r="C37" s="354" t="s">
        <v>26</v>
      </c>
      <c r="D37" s="354" t="s">
        <v>26</v>
      </c>
      <c r="E37" s="354" t="s">
        <v>26</v>
      </c>
      <c r="F37" s="103" t="str">
        <f t="shared" si="0"/>
        <v>(    )</v>
      </c>
      <c r="G37" s="355" t="e">
        <f t="shared" si="1"/>
        <v>#VALUE!</v>
      </c>
      <c r="H37" s="355" t="e">
        <f t="shared" si="2"/>
        <v>#VALUE!</v>
      </c>
    </row>
    <row r="38" spans="1:17" ht="27" customHeight="1">
      <c r="A38" s="356" t="s">
        <v>29</v>
      </c>
      <c r="B38" s="100">
        <v>1181</v>
      </c>
      <c r="C38" s="354"/>
      <c r="D38" s="354"/>
      <c r="E38" s="354"/>
      <c r="F38" s="103">
        <f t="shared" si="0"/>
        <v>0</v>
      </c>
      <c r="G38" s="103">
        <f t="shared" si="1"/>
        <v>0</v>
      </c>
      <c r="H38" s="355" t="e">
        <f t="shared" si="2"/>
        <v>#DIV/0!</v>
      </c>
    </row>
    <row r="39" spans="1:17" ht="28.5" customHeight="1">
      <c r="A39" s="352" t="s">
        <v>45</v>
      </c>
      <c r="B39" s="100">
        <v>1200</v>
      </c>
      <c r="C39" s="103">
        <f>SUM(C36:C38)</f>
        <v>3663.1</v>
      </c>
      <c r="D39" s="103">
        <f>SUM(D36:D38)</f>
        <v>-400.89999999999191</v>
      </c>
      <c r="E39" s="103">
        <f>SUM(E36:E38)</f>
        <v>-1.1617373729677638E-11</v>
      </c>
      <c r="F39" s="103">
        <f t="shared" si="0"/>
        <v>-400.89999999999191</v>
      </c>
      <c r="G39" s="103">
        <f t="shared" si="1"/>
        <v>-400.89999999998031</v>
      </c>
      <c r="H39" s="192">
        <f t="shared" si="2"/>
        <v>3450865998877667</v>
      </c>
    </row>
    <row r="40" spans="1:17" ht="35.25" customHeight="1">
      <c r="A40" s="356" t="s">
        <v>46</v>
      </c>
      <c r="B40" s="100">
        <v>1201</v>
      </c>
      <c r="C40" s="354"/>
      <c r="D40" s="354"/>
      <c r="E40" s="354"/>
      <c r="F40" s="103">
        <f t="shared" si="0"/>
        <v>0</v>
      </c>
      <c r="G40" s="354">
        <f t="shared" si="1"/>
        <v>0</v>
      </c>
      <c r="H40" s="355" t="e">
        <f t="shared" si="2"/>
        <v>#DIV/0!</v>
      </c>
    </row>
    <row r="41" spans="1:17" ht="33" customHeight="1">
      <c r="A41" s="356" t="s">
        <v>47</v>
      </c>
      <c r="B41" s="100">
        <v>1202</v>
      </c>
      <c r="C41" s="354" t="s">
        <v>26</v>
      </c>
      <c r="D41" s="354" t="s">
        <v>26</v>
      </c>
      <c r="E41" s="354" t="s">
        <v>26</v>
      </c>
      <c r="F41" s="103" t="str">
        <f t="shared" si="0"/>
        <v>(    )</v>
      </c>
      <c r="G41" s="355" t="e">
        <f t="shared" si="1"/>
        <v>#VALUE!</v>
      </c>
      <c r="H41" s="355" t="e">
        <f t="shared" si="2"/>
        <v>#VALUE!</v>
      </c>
    </row>
    <row r="42" spans="1:17" ht="33" customHeight="1">
      <c r="A42" s="352" t="s">
        <v>115</v>
      </c>
      <c r="B42" s="329">
        <v>1210</v>
      </c>
      <c r="C42" s="103">
        <f>SUM(C8,C22,C32,C34,C38)</f>
        <v>95001.4</v>
      </c>
      <c r="D42" s="103">
        <f>SUM(D8,D22,D32,D34,D38)</f>
        <v>108107.20000000001</v>
      </c>
      <c r="E42" s="103">
        <f>SUM(E8,E22,E32,E34,E38)</f>
        <v>91201.8</v>
      </c>
      <c r="F42" s="103">
        <f t="shared" si="0"/>
        <v>108107.20000000001</v>
      </c>
      <c r="G42" s="354">
        <f t="shared" si="1"/>
        <v>16905.400000000009</v>
      </c>
      <c r="H42" s="354">
        <f t="shared" si="2"/>
        <v>118.53625695984071</v>
      </c>
      <c r="L42" s="358"/>
    </row>
    <row r="43" spans="1:17" ht="33" customHeight="1">
      <c r="A43" s="352" t="s">
        <v>116</v>
      </c>
      <c r="B43" s="329">
        <v>1220</v>
      </c>
      <c r="C43" s="103">
        <f>SUM(C9,C16,C25,C33,C35,C37)</f>
        <v>-91338.299999999988</v>
      </c>
      <c r="D43" s="103">
        <f>SUM(D9,D16,D25,D33,D35,D37)</f>
        <v>-108508.09999999999</v>
      </c>
      <c r="E43" s="103">
        <f>SUM(E9,E16,E25,E33,E35,E37)</f>
        <v>-91201.8</v>
      </c>
      <c r="F43" s="103">
        <f t="shared" si="0"/>
        <v>-108508.09999999999</v>
      </c>
      <c r="G43" s="354">
        <f t="shared" si="1"/>
        <v>-17306.299999999988</v>
      </c>
      <c r="H43" s="354">
        <f t="shared" si="2"/>
        <v>118.97583161735841</v>
      </c>
    </row>
    <row r="44" spans="1:17" ht="33" customHeight="1">
      <c r="A44" s="359" t="s">
        <v>129</v>
      </c>
      <c r="B44" s="359"/>
      <c r="C44" s="359"/>
      <c r="D44" s="359"/>
      <c r="E44" s="359"/>
      <c r="F44" s="359"/>
      <c r="G44" s="359"/>
      <c r="H44" s="359"/>
    </row>
    <row r="45" spans="1:17" ht="33" customHeight="1">
      <c r="A45" s="353" t="s">
        <v>55</v>
      </c>
      <c r="B45" s="197">
        <v>9000</v>
      </c>
      <c r="C45" s="354">
        <v>16413.7</v>
      </c>
      <c r="D45" s="354">
        <v>15747.4</v>
      </c>
      <c r="E45" s="354">
        <v>13145.5</v>
      </c>
      <c r="F45" s="354">
        <f>D45</f>
        <v>15747.4</v>
      </c>
      <c r="G45" s="360">
        <f t="shared" ref="G45:G50" si="3">F45-E45</f>
        <v>2601.8999999999996</v>
      </c>
      <c r="H45" s="360">
        <f t="shared" ref="H45:H50" si="4">(F45/E45)*100</f>
        <v>119.79308508615114</v>
      </c>
    </row>
    <row r="46" spans="1:17" ht="33" customHeight="1">
      <c r="A46" s="353" t="s">
        <v>2</v>
      </c>
      <c r="B46" s="197">
        <v>9010</v>
      </c>
      <c r="C46" s="354">
        <v>53283.1</v>
      </c>
      <c r="D46" s="354">
        <v>64938.400000000001</v>
      </c>
      <c r="E46" s="354">
        <v>54064.1</v>
      </c>
      <c r="F46" s="354">
        <f t="shared" ref="F46:F49" si="5">D46</f>
        <v>64938.400000000001</v>
      </c>
      <c r="G46" s="360">
        <f t="shared" si="3"/>
        <v>10874.300000000003</v>
      </c>
      <c r="H46" s="360">
        <f t="shared" si="4"/>
        <v>120.11371686572052</v>
      </c>
    </row>
    <row r="47" spans="1:17" ht="33" customHeight="1">
      <c r="A47" s="353" t="s">
        <v>3</v>
      </c>
      <c r="B47" s="197">
        <v>9020</v>
      </c>
      <c r="C47" s="354">
        <v>11373.8</v>
      </c>
      <c r="D47" s="354">
        <v>13720.2</v>
      </c>
      <c r="E47" s="354">
        <v>11624.2</v>
      </c>
      <c r="F47" s="354">
        <f t="shared" si="5"/>
        <v>13720.2</v>
      </c>
      <c r="G47" s="360">
        <f t="shared" si="3"/>
        <v>2096</v>
      </c>
      <c r="H47" s="360">
        <f t="shared" si="4"/>
        <v>118.03134839386797</v>
      </c>
    </row>
    <row r="48" spans="1:17" ht="33" customHeight="1">
      <c r="A48" s="353" t="s">
        <v>4</v>
      </c>
      <c r="B48" s="197">
        <v>9030</v>
      </c>
      <c r="C48" s="354">
        <v>2074.5</v>
      </c>
      <c r="D48" s="354">
        <v>3764.5</v>
      </c>
      <c r="E48" s="354"/>
      <c r="F48" s="354">
        <f t="shared" si="5"/>
        <v>3764.5</v>
      </c>
      <c r="G48" s="360">
        <f t="shared" si="3"/>
        <v>3764.5</v>
      </c>
      <c r="H48" s="360" t="e">
        <f t="shared" si="4"/>
        <v>#DIV/0!</v>
      </c>
      <c r="N48" s="264"/>
      <c r="O48" s="288"/>
      <c r="P48" s="288"/>
      <c r="Q48" s="288"/>
    </row>
    <row r="49" spans="1:17" ht="33" customHeight="1">
      <c r="A49" s="353" t="s">
        <v>6</v>
      </c>
      <c r="B49" s="197">
        <v>9040</v>
      </c>
      <c r="C49" s="354">
        <v>8193.2000000000007</v>
      </c>
      <c r="D49" s="354">
        <v>10337.6</v>
      </c>
      <c r="E49" s="354">
        <v>12368</v>
      </c>
      <c r="F49" s="354">
        <f t="shared" si="5"/>
        <v>10337.6</v>
      </c>
      <c r="G49" s="360">
        <f t="shared" si="3"/>
        <v>-2030.3999999999996</v>
      </c>
      <c r="H49" s="360">
        <f t="shared" si="4"/>
        <v>83.583441138421733</v>
      </c>
      <c r="N49" s="264"/>
      <c r="O49" s="288"/>
      <c r="P49" s="288"/>
      <c r="Q49" s="288"/>
    </row>
    <row r="50" spans="1:17" ht="33" customHeight="1">
      <c r="A50" s="326" t="s">
        <v>9</v>
      </c>
      <c r="B50" s="101">
        <v>9050</v>
      </c>
      <c r="C50" s="103">
        <f>SUM(C45:C49)</f>
        <v>91338.3</v>
      </c>
      <c r="D50" s="103">
        <f>SUM(D45:D49)</f>
        <v>108508.1</v>
      </c>
      <c r="E50" s="103">
        <f>SUM(E45:E49)</f>
        <v>91201.8</v>
      </c>
      <c r="F50" s="103">
        <f>SUM(F45:F49)</f>
        <v>108508.1</v>
      </c>
      <c r="G50" s="360">
        <f t="shared" si="3"/>
        <v>17306.300000000003</v>
      </c>
      <c r="H50" s="360">
        <f t="shared" si="4"/>
        <v>118.97583161735842</v>
      </c>
      <c r="N50" s="264"/>
      <c r="O50" s="289"/>
      <c r="P50" s="289"/>
      <c r="Q50" s="289"/>
    </row>
    <row r="51" spans="1:17" ht="33" customHeight="1">
      <c r="A51" s="361" t="s">
        <v>98</v>
      </c>
      <c r="B51" s="361"/>
      <c r="C51" s="361"/>
      <c r="D51" s="361"/>
      <c r="E51" s="361"/>
      <c r="F51" s="361"/>
      <c r="G51" s="361"/>
      <c r="H51" s="361"/>
      <c r="N51" s="264"/>
      <c r="O51" s="289"/>
      <c r="P51" s="289"/>
      <c r="Q51" s="289"/>
    </row>
    <row r="52" spans="1:17" ht="69" customHeight="1">
      <c r="A52" s="362" t="s">
        <v>134</v>
      </c>
      <c r="B52" s="329">
        <v>2110</v>
      </c>
      <c r="C52" s="103">
        <f>SUM(C53:C56)</f>
        <v>-899.7</v>
      </c>
      <c r="D52" s="103">
        <f>SUM(D53:D56)</f>
        <v>-1077.6759999999999</v>
      </c>
      <c r="E52" s="103">
        <f>SUM(E53:E56)</f>
        <v>-902.9</v>
      </c>
      <c r="F52" s="103">
        <f>SUM(F53:F56)</f>
        <v>-1077.6759999999999</v>
      </c>
      <c r="G52" s="103">
        <f>F52-F52</f>
        <v>0</v>
      </c>
      <c r="H52" s="103">
        <f>(F52/E52)*100</f>
        <v>119.35718241222726</v>
      </c>
      <c r="N52" s="264"/>
      <c r="O52" s="288"/>
      <c r="P52" s="288"/>
      <c r="Q52" s="288"/>
    </row>
    <row r="53" spans="1:17" ht="44.25" customHeight="1">
      <c r="A53" s="353" t="s">
        <v>52</v>
      </c>
      <c r="B53" s="100">
        <v>2111</v>
      </c>
      <c r="C53" s="354">
        <v>-100.5</v>
      </c>
      <c r="D53" s="354">
        <v>-103.6</v>
      </c>
      <c r="E53" s="354">
        <v>-92</v>
      </c>
      <c r="F53" s="354">
        <f>D53</f>
        <v>-103.6</v>
      </c>
      <c r="G53" s="354">
        <f t="shared" ref="G53:G68" si="6">F53-F53</f>
        <v>0</v>
      </c>
      <c r="H53" s="354">
        <f t="shared" ref="H53:H68" si="7">(F53/E53)*100</f>
        <v>112.60869565217391</v>
      </c>
      <c r="N53" s="264"/>
      <c r="O53" s="265"/>
      <c r="P53" s="265"/>
      <c r="Q53" s="265"/>
    </row>
    <row r="54" spans="1:17" ht="45.75" customHeight="1">
      <c r="A54" s="363" t="s">
        <v>53</v>
      </c>
      <c r="B54" s="100">
        <v>2112</v>
      </c>
      <c r="C54" s="354"/>
      <c r="D54" s="354" t="s">
        <v>26</v>
      </c>
      <c r="E54" s="354"/>
      <c r="F54" s="354" t="s">
        <v>26</v>
      </c>
      <c r="G54" s="355" t="e">
        <f t="shared" si="6"/>
        <v>#VALUE!</v>
      </c>
      <c r="H54" s="355" t="e">
        <f t="shared" si="7"/>
        <v>#VALUE!</v>
      </c>
    </row>
    <row r="55" spans="1:17" ht="28.5" customHeight="1">
      <c r="A55" s="353" t="s">
        <v>60</v>
      </c>
      <c r="B55" s="100">
        <v>2113</v>
      </c>
      <c r="C55" s="354">
        <v>-799.2</v>
      </c>
      <c r="D55" s="354">
        <f>-D46*1.5/100</f>
        <v>-974.07600000000002</v>
      </c>
      <c r="E55" s="354">
        <v>-810.9</v>
      </c>
      <c r="F55" s="354">
        <f>D55</f>
        <v>-974.07600000000002</v>
      </c>
      <c r="G55" s="354">
        <f t="shared" si="6"/>
        <v>0</v>
      </c>
      <c r="H55" s="354">
        <f t="shared" si="7"/>
        <v>120.12282648908621</v>
      </c>
    </row>
    <row r="56" spans="1:17" ht="33" customHeight="1">
      <c r="A56" s="353" t="s">
        <v>40</v>
      </c>
      <c r="B56" s="100">
        <v>2114</v>
      </c>
      <c r="C56" s="354"/>
      <c r="D56" s="354" t="s">
        <v>26</v>
      </c>
      <c r="E56" s="354"/>
      <c r="F56" s="354" t="s">
        <v>26</v>
      </c>
      <c r="G56" s="355" t="e">
        <f t="shared" si="6"/>
        <v>#VALUE!</v>
      </c>
      <c r="H56" s="355" t="e">
        <f t="shared" si="7"/>
        <v>#VALUE!</v>
      </c>
    </row>
    <row r="57" spans="1:17" ht="43.5" customHeight="1">
      <c r="A57" s="364" t="s">
        <v>57</v>
      </c>
      <c r="B57" s="101">
        <v>2120</v>
      </c>
      <c r="C57" s="103">
        <f>SUM(C58:C63)</f>
        <v>-9586</v>
      </c>
      <c r="D57" s="103">
        <f>SUM(D58:D63)</f>
        <v>-11689.612000000001</v>
      </c>
      <c r="E57" s="103">
        <f>SUM(E58:E63)</f>
        <v>-9731.8379999999979</v>
      </c>
      <c r="F57" s="103">
        <f>SUM(F58:F63)</f>
        <v>-11689.612000000001</v>
      </c>
      <c r="G57" s="103">
        <f t="shared" si="6"/>
        <v>0</v>
      </c>
      <c r="H57" s="103">
        <f t="shared" si="7"/>
        <v>120.11720704763071</v>
      </c>
    </row>
    <row r="58" spans="1:17" ht="36" customHeight="1">
      <c r="A58" s="363" t="s">
        <v>38</v>
      </c>
      <c r="B58" s="197">
        <v>2121</v>
      </c>
      <c r="C58" s="354" t="s">
        <v>26</v>
      </c>
      <c r="D58" s="354" t="s">
        <v>26</v>
      </c>
      <c r="E58" s="354" t="s">
        <v>26</v>
      </c>
      <c r="F58" s="354" t="s">
        <v>26</v>
      </c>
      <c r="G58" s="355" t="e">
        <f t="shared" si="6"/>
        <v>#VALUE!</v>
      </c>
      <c r="H58" s="355" t="e">
        <f t="shared" si="7"/>
        <v>#VALUE!</v>
      </c>
    </row>
    <row r="59" spans="1:17" ht="33.75" customHeight="1">
      <c r="A59" s="353" t="s">
        <v>14</v>
      </c>
      <c r="B59" s="197">
        <v>2122</v>
      </c>
      <c r="C59" s="354">
        <v>-9585.7000000000007</v>
      </c>
      <c r="D59" s="354">
        <f>-D46*18/100</f>
        <v>-11688.912</v>
      </c>
      <c r="E59" s="354">
        <f>-E46*18/100</f>
        <v>-9731.5379999999986</v>
      </c>
      <c r="F59" s="354">
        <f>D59</f>
        <v>-11688.912</v>
      </c>
      <c r="G59" s="354">
        <f t="shared" si="6"/>
        <v>0</v>
      </c>
      <c r="H59" s="354">
        <f t="shared" si="7"/>
        <v>120.11371686572052</v>
      </c>
    </row>
    <row r="60" spans="1:17" ht="31.5" customHeight="1">
      <c r="A60" s="353" t="s">
        <v>43</v>
      </c>
      <c r="B60" s="197">
        <v>2123</v>
      </c>
      <c r="C60" s="354">
        <v>-0.3</v>
      </c>
      <c r="D60" s="354">
        <v>-0.7</v>
      </c>
      <c r="E60" s="354">
        <v>-0.3</v>
      </c>
      <c r="F60" s="354">
        <f>D60</f>
        <v>-0.7</v>
      </c>
      <c r="G60" s="354">
        <f t="shared" si="6"/>
        <v>0</v>
      </c>
      <c r="H60" s="354">
        <f t="shared" si="7"/>
        <v>233.33333333333334</v>
      </c>
    </row>
    <row r="61" spans="1:17" ht="31.5" customHeight="1">
      <c r="A61" s="353" t="s">
        <v>44</v>
      </c>
      <c r="B61" s="197">
        <v>2124</v>
      </c>
      <c r="C61" s="354"/>
      <c r="D61" s="354" t="s">
        <v>26</v>
      </c>
      <c r="E61" s="354" t="s">
        <v>26</v>
      </c>
      <c r="F61" s="354" t="s">
        <v>26</v>
      </c>
      <c r="G61" s="355" t="e">
        <f t="shared" si="6"/>
        <v>#VALUE!</v>
      </c>
      <c r="H61" s="355" t="e">
        <f t="shared" si="7"/>
        <v>#VALUE!</v>
      </c>
    </row>
    <row r="62" spans="1:17" ht="84.75" customHeight="1">
      <c r="A62" s="353" t="s">
        <v>337</v>
      </c>
      <c r="B62" s="197">
        <v>2125</v>
      </c>
      <c r="C62" s="354" t="s">
        <v>26</v>
      </c>
      <c r="D62" s="354" t="s">
        <v>26</v>
      </c>
      <c r="E62" s="354" t="s">
        <v>26</v>
      </c>
      <c r="F62" s="354" t="s">
        <v>26</v>
      </c>
      <c r="G62" s="355" t="e">
        <f t="shared" si="6"/>
        <v>#VALUE!</v>
      </c>
      <c r="H62" s="355" t="e">
        <f t="shared" si="7"/>
        <v>#VALUE!</v>
      </c>
    </row>
    <row r="63" spans="1:17" ht="31.5" customHeight="1">
      <c r="A63" s="353" t="s">
        <v>40</v>
      </c>
      <c r="B63" s="197">
        <v>2126</v>
      </c>
      <c r="C63" s="354" t="s">
        <v>26</v>
      </c>
      <c r="D63" s="354" t="s">
        <v>26</v>
      </c>
      <c r="E63" s="354" t="s">
        <v>26</v>
      </c>
      <c r="F63" s="354" t="s">
        <v>26</v>
      </c>
      <c r="G63" s="355" t="e">
        <f t="shared" si="6"/>
        <v>#VALUE!</v>
      </c>
      <c r="H63" s="355" t="e">
        <f t="shared" si="7"/>
        <v>#VALUE!</v>
      </c>
    </row>
    <row r="64" spans="1:17" ht="48" customHeight="1">
      <c r="A64" s="362" t="s">
        <v>58</v>
      </c>
      <c r="B64" s="101">
        <v>2130</v>
      </c>
      <c r="C64" s="103">
        <f>SUM(C65:C67)</f>
        <v>-11664.199999999999</v>
      </c>
      <c r="D64" s="103">
        <f>SUM(D65:D67)</f>
        <v>-14032.5</v>
      </c>
      <c r="E64" s="103">
        <f>SUM(E65:E67)</f>
        <v>-11894.400000000001</v>
      </c>
      <c r="F64" s="103">
        <f>SUM(F65:F67)</f>
        <v>-14032.5</v>
      </c>
      <c r="G64" s="103">
        <f t="shared" si="6"/>
        <v>0</v>
      </c>
      <c r="H64" s="103">
        <f t="shared" si="7"/>
        <v>117.97568603712669</v>
      </c>
    </row>
    <row r="65" spans="1:9" ht="33" customHeight="1">
      <c r="A65" s="353" t="s">
        <v>41</v>
      </c>
      <c r="B65" s="197">
        <v>2131</v>
      </c>
      <c r="C65" s="354" t="s">
        <v>26</v>
      </c>
      <c r="D65" s="354" t="s">
        <v>26</v>
      </c>
      <c r="E65" s="354" t="s">
        <v>26</v>
      </c>
      <c r="F65" s="354" t="s">
        <v>26</v>
      </c>
      <c r="G65" s="355" t="e">
        <f t="shared" si="6"/>
        <v>#VALUE!</v>
      </c>
      <c r="H65" s="355" t="e">
        <f t="shared" si="7"/>
        <v>#VALUE!</v>
      </c>
    </row>
    <row r="66" spans="1:9" ht="44.25" customHeight="1">
      <c r="A66" s="353" t="s">
        <v>42</v>
      </c>
      <c r="B66" s="197">
        <v>2132</v>
      </c>
      <c r="C66" s="354">
        <v>-11373.8</v>
      </c>
      <c r="D66" s="354">
        <v>-13720.2</v>
      </c>
      <c r="E66" s="354">
        <v>-11624.2</v>
      </c>
      <c r="F66" s="354">
        <f>D66</f>
        <v>-13720.2</v>
      </c>
      <c r="G66" s="354">
        <f t="shared" si="6"/>
        <v>0</v>
      </c>
      <c r="H66" s="354">
        <f t="shared" si="7"/>
        <v>118.03134839386797</v>
      </c>
    </row>
    <row r="67" spans="1:9" ht="35.25" customHeight="1">
      <c r="A67" s="353" t="s">
        <v>518</v>
      </c>
      <c r="B67" s="197">
        <v>2133</v>
      </c>
      <c r="C67" s="354">
        <v>-290.39999999999998</v>
      </c>
      <c r="D67" s="354">
        <v>-312.3</v>
      </c>
      <c r="E67" s="354">
        <v>-270.2</v>
      </c>
      <c r="F67" s="354">
        <f>D67</f>
        <v>-312.3</v>
      </c>
      <c r="G67" s="354">
        <f t="shared" si="6"/>
        <v>0</v>
      </c>
      <c r="H67" s="354">
        <f t="shared" si="7"/>
        <v>115.58105107327906</v>
      </c>
      <c r="I67" s="347" t="s">
        <v>261</v>
      </c>
    </row>
    <row r="68" spans="1:9" ht="30.75" customHeight="1">
      <c r="A68" s="364" t="s">
        <v>54</v>
      </c>
      <c r="B68" s="101">
        <v>2200</v>
      </c>
      <c r="C68" s="103">
        <f>SUM(C52+C57+C64)</f>
        <v>-22149.9</v>
      </c>
      <c r="D68" s="103">
        <f>SUM(D52+D57+D64)</f>
        <v>-26799.788</v>
      </c>
      <c r="E68" s="103">
        <f>SUM(E52+E57+E64)</f>
        <v>-22529.137999999999</v>
      </c>
      <c r="F68" s="103">
        <f>SUM(F52+F57+F64)</f>
        <v>-26799.788</v>
      </c>
      <c r="G68" s="103">
        <f t="shared" si="6"/>
        <v>0</v>
      </c>
      <c r="H68" s="103">
        <f t="shared" si="7"/>
        <v>118.95611807251569</v>
      </c>
    </row>
    <row r="69" spans="1:9" ht="30.75" customHeight="1">
      <c r="A69" s="361" t="s">
        <v>659</v>
      </c>
      <c r="B69" s="361"/>
      <c r="C69" s="361"/>
      <c r="D69" s="361"/>
      <c r="E69" s="361"/>
      <c r="F69" s="361"/>
      <c r="G69" s="361"/>
      <c r="H69" s="361"/>
    </row>
    <row r="70" spans="1:9" ht="51" customHeight="1">
      <c r="A70" s="365" t="s">
        <v>637</v>
      </c>
      <c r="B70" s="101"/>
      <c r="C70" s="366"/>
      <c r="D70" s="366"/>
      <c r="E70" s="366"/>
      <c r="F70" s="366"/>
      <c r="G70" s="366"/>
      <c r="H70" s="366"/>
    </row>
    <row r="71" spans="1:9" ht="44.25" customHeight="1">
      <c r="A71" s="352" t="s">
        <v>660</v>
      </c>
      <c r="B71" s="329">
        <v>3000</v>
      </c>
      <c r="C71" s="366">
        <f>SUM(C72:C75)</f>
        <v>90107</v>
      </c>
      <c r="D71" s="366">
        <f t="shared" ref="D71:F71" si="8">SUM(D72:D75)</f>
        <v>101382.40000000001</v>
      </c>
      <c r="E71" s="366">
        <f t="shared" si="8"/>
        <v>91177.2</v>
      </c>
      <c r="F71" s="366">
        <f t="shared" si="8"/>
        <v>101382.40000000001</v>
      </c>
      <c r="G71" s="366">
        <f>F71-E71</f>
        <v>10205.200000000012</v>
      </c>
      <c r="H71" s="366">
        <f>(F71/E71)*100</f>
        <v>111.19271045831636</v>
      </c>
    </row>
    <row r="72" spans="1:9" ht="44.25" customHeight="1">
      <c r="A72" s="356" t="s">
        <v>639</v>
      </c>
      <c r="B72" s="100">
        <v>3010</v>
      </c>
      <c r="C72" s="367">
        <f>'Розшифровка до руху '!C8</f>
        <v>74178.7</v>
      </c>
      <c r="D72" s="367">
        <v>86185.3</v>
      </c>
      <c r="E72" s="367">
        <v>78786.7</v>
      </c>
      <c r="F72" s="367">
        <f>D72</f>
        <v>86185.3</v>
      </c>
      <c r="G72" s="366">
        <f t="shared" ref="G72:G117" si="9">F72-E72</f>
        <v>7398.6000000000058</v>
      </c>
      <c r="H72" s="367">
        <f t="shared" ref="H72:H117" si="10">(F72/E72)*100</f>
        <v>109.39067126812014</v>
      </c>
    </row>
    <row r="73" spans="1:9" ht="30.75" customHeight="1">
      <c r="A73" s="356" t="s">
        <v>661</v>
      </c>
      <c r="B73" s="100">
        <v>3020</v>
      </c>
      <c r="C73" s="367">
        <f>'Розшифровка до руху '!C13</f>
        <v>15449.8</v>
      </c>
      <c r="D73" s="367">
        <v>14472.1</v>
      </c>
      <c r="E73" s="367">
        <v>12189</v>
      </c>
      <c r="F73" s="367">
        <f t="shared" ref="F73:F75" si="11">D73</f>
        <v>14472.1</v>
      </c>
      <c r="G73" s="366">
        <f t="shared" si="9"/>
        <v>2283.1000000000004</v>
      </c>
      <c r="H73" s="367">
        <f t="shared" si="10"/>
        <v>118.7308228730823</v>
      </c>
    </row>
    <row r="74" spans="1:9" ht="44.25" customHeight="1">
      <c r="A74" s="353" t="s">
        <v>662</v>
      </c>
      <c r="B74" s="100">
        <v>3030</v>
      </c>
      <c r="C74" s="367"/>
      <c r="D74" s="367"/>
      <c r="E74" s="367"/>
      <c r="F74" s="367">
        <f t="shared" si="11"/>
        <v>0</v>
      </c>
      <c r="G74" s="366">
        <f t="shared" si="9"/>
        <v>0</v>
      </c>
      <c r="H74" s="367" t="e">
        <f t="shared" si="10"/>
        <v>#DIV/0!</v>
      </c>
    </row>
    <row r="75" spans="1:9" ht="30.75" customHeight="1">
      <c r="A75" s="353" t="s">
        <v>663</v>
      </c>
      <c r="B75" s="100">
        <v>3040</v>
      </c>
      <c r="C75" s="367">
        <f>'Розшифровка до руху '!C18</f>
        <v>478.5</v>
      </c>
      <c r="D75" s="367">
        <v>725</v>
      </c>
      <c r="E75" s="367">
        <v>201.5</v>
      </c>
      <c r="F75" s="367">
        <f t="shared" si="11"/>
        <v>725</v>
      </c>
      <c r="G75" s="366">
        <f t="shared" si="9"/>
        <v>523.5</v>
      </c>
      <c r="H75" s="367">
        <f t="shared" si="10"/>
        <v>359.80148883374687</v>
      </c>
    </row>
    <row r="76" spans="1:9" ht="40.5" customHeight="1">
      <c r="A76" s="352" t="s">
        <v>642</v>
      </c>
      <c r="B76" s="329">
        <v>3100</v>
      </c>
      <c r="C76" s="366">
        <f>SUM(C77:C79,C87,C88)</f>
        <v>-90734.599999999991</v>
      </c>
      <c r="D76" s="366">
        <f t="shared" ref="D76:F76" si="12">SUM(D77:D79,D87,D88)</f>
        <v>-92607</v>
      </c>
      <c r="E76" s="366">
        <f t="shared" si="12"/>
        <v>-91294.099999999991</v>
      </c>
      <c r="F76" s="366">
        <f t="shared" si="12"/>
        <v>-92607</v>
      </c>
      <c r="G76" s="366">
        <f t="shared" si="9"/>
        <v>-1312.9000000000087</v>
      </c>
      <c r="H76" s="366">
        <f t="shared" si="10"/>
        <v>101.43809950478729</v>
      </c>
    </row>
    <row r="77" spans="1:9" ht="44.25" customHeight="1">
      <c r="A77" s="353" t="s">
        <v>664</v>
      </c>
      <c r="B77" s="100">
        <v>3110</v>
      </c>
      <c r="C77" s="366">
        <v>-25821.5</v>
      </c>
      <c r="D77" s="366">
        <f>-13410.9+339.9-136.4-566.2</f>
        <v>-13773.6</v>
      </c>
      <c r="E77" s="366">
        <v>-25513.5</v>
      </c>
      <c r="F77" s="366">
        <f>D77</f>
        <v>-13773.6</v>
      </c>
      <c r="G77" s="366">
        <f t="shared" si="9"/>
        <v>11739.9</v>
      </c>
      <c r="H77" s="367">
        <f t="shared" si="10"/>
        <v>53.985537068610732</v>
      </c>
    </row>
    <row r="78" spans="1:9" ht="30.75" customHeight="1">
      <c r="A78" s="353" t="s">
        <v>665</v>
      </c>
      <c r="B78" s="100">
        <v>3120</v>
      </c>
      <c r="C78" s="366">
        <v>-42607.8</v>
      </c>
      <c r="D78" s="366">
        <v>-51963.1</v>
      </c>
      <c r="E78" s="366">
        <v>-43251.5</v>
      </c>
      <c r="F78" s="366">
        <f>D78</f>
        <v>-51963.1</v>
      </c>
      <c r="G78" s="366">
        <f t="shared" si="9"/>
        <v>-8711.5999999999985</v>
      </c>
      <c r="H78" s="367">
        <f t="shared" si="10"/>
        <v>120.14172918858306</v>
      </c>
    </row>
    <row r="79" spans="1:9" ht="42" customHeight="1">
      <c r="A79" s="368" t="s">
        <v>666</v>
      </c>
      <c r="B79" s="369">
        <v>3130</v>
      </c>
      <c r="C79" s="370">
        <v>-21858.1</v>
      </c>
      <c r="D79" s="370">
        <f t="shared" ref="D79:F79" si="13">SUM(D80:D86)</f>
        <v>-26487.5</v>
      </c>
      <c r="E79" s="370">
        <f t="shared" si="13"/>
        <v>-22258.9</v>
      </c>
      <c r="F79" s="370">
        <f t="shared" si="13"/>
        <v>-26487.5</v>
      </c>
      <c r="G79" s="366">
        <f t="shared" si="9"/>
        <v>-4228.5999999999985</v>
      </c>
      <c r="H79" s="370">
        <f t="shared" si="10"/>
        <v>118.9973448822718</v>
      </c>
    </row>
    <row r="80" spans="1:9" ht="30.75" customHeight="1">
      <c r="A80" s="353" t="s">
        <v>38</v>
      </c>
      <c r="B80" s="100">
        <v>3131</v>
      </c>
      <c r="C80" s="366"/>
      <c r="D80" s="366"/>
      <c r="E80" s="366"/>
      <c r="F80" s="366"/>
      <c r="G80" s="366">
        <f t="shared" si="9"/>
        <v>0</v>
      </c>
      <c r="H80" s="371" t="e">
        <f t="shared" si="10"/>
        <v>#DIV/0!</v>
      </c>
    </row>
    <row r="81" spans="1:8" ht="30.75" customHeight="1">
      <c r="A81" s="353" t="s">
        <v>667</v>
      </c>
      <c r="B81" s="100">
        <v>3132</v>
      </c>
      <c r="C81" s="367">
        <v>-99.1</v>
      </c>
      <c r="D81" s="367">
        <v>-103.6</v>
      </c>
      <c r="E81" s="367">
        <v>-92</v>
      </c>
      <c r="F81" s="367">
        <v>-103.6</v>
      </c>
      <c r="G81" s="367">
        <f t="shared" si="9"/>
        <v>-11.599999999999994</v>
      </c>
      <c r="H81" s="367">
        <f t="shared" si="10"/>
        <v>112.60869565217391</v>
      </c>
    </row>
    <row r="82" spans="1:8" ht="30.75" customHeight="1">
      <c r="A82" s="353" t="s">
        <v>14</v>
      </c>
      <c r="B82" s="100">
        <v>3133</v>
      </c>
      <c r="C82" s="367">
        <v>-9585.7000000000007</v>
      </c>
      <c r="D82" s="367">
        <v>-11688.9</v>
      </c>
      <c r="E82" s="367">
        <v>-9731.5</v>
      </c>
      <c r="F82" s="367">
        <v>-11688.9</v>
      </c>
      <c r="G82" s="367">
        <f t="shared" si="9"/>
        <v>-1957.3999999999996</v>
      </c>
      <c r="H82" s="367">
        <f t="shared" si="10"/>
        <v>120.11406258028052</v>
      </c>
    </row>
    <row r="83" spans="1:8" ht="30.75" customHeight="1">
      <c r="A83" s="353" t="s">
        <v>43</v>
      </c>
      <c r="B83" s="100">
        <v>3134</v>
      </c>
      <c r="C83" s="367">
        <v>-0.3</v>
      </c>
      <c r="D83" s="367">
        <v>-0.7</v>
      </c>
      <c r="E83" s="367">
        <v>-0.3</v>
      </c>
      <c r="F83" s="367">
        <v>-0.7</v>
      </c>
      <c r="G83" s="367">
        <f t="shared" si="9"/>
        <v>-0.39999999999999997</v>
      </c>
      <c r="H83" s="367">
        <f t="shared" si="10"/>
        <v>233.33333333333334</v>
      </c>
    </row>
    <row r="84" spans="1:8" ht="30.75" customHeight="1">
      <c r="A84" s="353" t="s">
        <v>44</v>
      </c>
      <c r="B84" s="100">
        <v>3135</v>
      </c>
      <c r="C84" s="367"/>
      <c r="D84" s="367"/>
      <c r="E84" s="367"/>
      <c r="F84" s="367"/>
      <c r="G84" s="367">
        <f t="shared" si="9"/>
        <v>0</v>
      </c>
      <c r="H84" s="371" t="e">
        <f t="shared" si="10"/>
        <v>#DIV/0!</v>
      </c>
    </row>
    <row r="85" spans="1:8" ht="30.75" customHeight="1">
      <c r="A85" s="353" t="s">
        <v>60</v>
      </c>
      <c r="B85" s="100">
        <v>3136</v>
      </c>
      <c r="C85" s="367">
        <v>-799.2</v>
      </c>
      <c r="D85" s="367">
        <v>-974.1</v>
      </c>
      <c r="E85" s="367">
        <v>-810.9</v>
      </c>
      <c r="F85" s="367">
        <v>-974.1</v>
      </c>
      <c r="G85" s="367">
        <f t="shared" si="9"/>
        <v>-163.20000000000005</v>
      </c>
      <c r="H85" s="367">
        <f t="shared" si="10"/>
        <v>120.12578616352201</v>
      </c>
    </row>
    <row r="86" spans="1:8" ht="51" customHeight="1">
      <c r="A86" s="353" t="s">
        <v>668</v>
      </c>
      <c r="B86" s="100">
        <v>3137</v>
      </c>
      <c r="C86" s="367">
        <v>-11373.8</v>
      </c>
      <c r="D86" s="367">
        <v>-13720.2</v>
      </c>
      <c r="E86" s="367">
        <v>-11624.2</v>
      </c>
      <c r="F86" s="367">
        <f>D86</f>
        <v>-13720.2</v>
      </c>
      <c r="G86" s="367">
        <f t="shared" si="9"/>
        <v>-2096</v>
      </c>
      <c r="H86" s="367">
        <f t="shared" si="10"/>
        <v>118.03134839386797</v>
      </c>
    </row>
    <row r="87" spans="1:8" ht="30.75" customHeight="1">
      <c r="A87" s="353" t="s">
        <v>669</v>
      </c>
      <c r="B87" s="100">
        <v>3138</v>
      </c>
      <c r="C87" s="367">
        <v>-290.39999999999998</v>
      </c>
      <c r="D87" s="367">
        <v>-312.3</v>
      </c>
      <c r="E87" s="367">
        <v>-270.2</v>
      </c>
      <c r="F87" s="367">
        <v>-312.3</v>
      </c>
      <c r="G87" s="367">
        <f t="shared" si="9"/>
        <v>-42.100000000000023</v>
      </c>
      <c r="H87" s="367">
        <f t="shared" si="10"/>
        <v>115.58105107327906</v>
      </c>
    </row>
    <row r="88" spans="1:8" ht="30.75" customHeight="1">
      <c r="A88" s="356" t="s">
        <v>49</v>
      </c>
      <c r="B88" s="100">
        <v>3139</v>
      </c>
      <c r="C88" s="367">
        <v>-156.80000000000001</v>
      </c>
      <c r="D88" s="367">
        <v>-70.5</v>
      </c>
      <c r="E88" s="367"/>
      <c r="F88" s="367">
        <v>-70.5</v>
      </c>
      <c r="G88" s="366">
        <f t="shared" si="9"/>
        <v>-70.5</v>
      </c>
      <c r="H88" s="371" t="e">
        <f t="shared" si="10"/>
        <v>#DIV/0!</v>
      </c>
    </row>
    <row r="89" spans="1:8" ht="39" customHeight="1">
      <c r="A89" s="364" t="s">
        <v>670</v>
      </c>
      <c r="B89" s="101">
        <v>3160</v>
      </c>
      <c r="C89" s="366">
        <f t="shared" ref="C89:F89" si="14">SUM(C71,C76)</f>
        <v>-627.59999999999127</v>
      </c>
      <c r="D89" s="366">
        <f t="shared" si="14"/>
        <v>8775.4000000000087</v>
      </c>
      <c r="E89" s="366">
        <f t="shared" si="14"/>
        <v>-116.89999999999418</v>
      </c>
      <c r="F89" s="366">
        <f t="shared" si="14"/>
        <v>8775.4000000000087</v>
      </c>
      <c r="G89" s="366">
        <f t="shared" si="9"/>
        <v>8892.3000000000029</v>
      </c>
      <c r="H89" s="366">
        <f t="shared" si="10"/>
        <v>-7506.7579127463177</v>
      </c>
    </row>
    <row r="90" spans="1:8" ht="42" customHeight="1">
      <c r="A90" s="365" t="s">
        <v>643</v>
      </c>
      <c r="B90" s="197"/>
      <c r="C90" s="367"/>
      <c r="D90" s="367"/>
      <c r="E90" s="367"/>
      <c r="F90" s="367"/>
      <c r="G90" s="366"/>
      <c r="H90" s="366"/>
    </row>
    <row r="91" spans="1:8" ht="42" customHeight="1">
      <c r="A91" s="364" t="s">
        <v>644</v>
      </c>
      <c r="B91" s="101">
        <v>3200</v>
      </c>
      <c r="C91" s="366">
        <f>C92</f>
        <v>204.8</v>
      </c>
      <c r="D91" s="366">
        <f t="shared" ref="D91:F91" si="15">D92</f>
        <v>23181.1</v>
      </c>
      <c r="E91" s="366">
        <f t="shared" si="15"/>
        <v>10744.4</v>
      </c>
      <c r="F91" s="366">
        <f t="shared" si="15"/>
        <v>23181.1</v>
      </c>
      <c r="G91" s="366">
        <f t="shared" si="9"/>
        <v>12436.699999999999</v>
      </c>
      <c r="H91" s="366">
        <f t="shared" si="10"/>
        <v>215.75053050891628</v>
      </c>
    </row>
    <row r="92" spans="1:8" ht="34.5" customHeight="1">
      <c r="A92" s="372" t="s">
        <v>671</v>
      </c>
      <c r="B92" s="197">
        <v>3210</v>
      </c>
      <c r="C92" s="367">
        <v>204.8</v>
      </c>
      <c r="D92" s="367">
        <v>23181.1</v>
      </c>
      <c r="E92" s="367">
        <v>10744.4</v>
      </c>
      <c r="F92" s="367">
        <v>23181.1</v>
      </c>
      <c r="G92" s="366">
        <f t="shared" si="9"/>
        <v>12436.699999999999</v>
      </c>
      <c r="H92" s="367">
        <f t="shared" si="10"/>
        <v>215.75053050891628</v>
      </c>
    </row>
    <row r="93" spans="1:8" ht="42" customHeight="1">
      <c r="A93" s="364" t="s">
        <v>645</v>
      </c>
      <c r="B93" s="101">
        <v>3255</v>
      </c>
      <c r="C93" s="366">
        <f>SUM(C94,C101)</f>
        <v>-1777</v>
      </c>
      <c r="D93" s="366">
        <f t="shared" ref="D93:F93" si="16">SUM(D94,D101)</f>
        <v>-31894.7</v>
      </c>
      <c r="E93" s="366">
        <f t="shared" si="16"/>
        <v>-10744.4</v>
      </c>
      <c r="F93" s="366">
        <f t="shared" si="16"/>
        <v>-31894.7</v>
      </c>
      <c r="G93" s="366">
        <f t="shared" si="9"/>
        <v>-21150.300000000003</v>
      </c>
      <c r="H93" s="366">
        <f t="shared" si="10"/>
        <v>296.84952161125796</v>
      </c>
    </row>
    <row r="94" spans="1:8" ht="42" customHeight="1">
      <c r="A94" s="368" t="s">
        <v>646</v>
      </c>
      <c r="B94" s="373">
        <v>3260</v>
      </c>
      <c r="C94" s="370">
        <f>SUM(C95:C100)</f>
        <v>-1777</v>
      </c>
      <c r="D94" s="370">
        <f>SUM(D95:D100)</f>
        <v>-31894.7</v>
      </c>
      <c r="E94" s="370">
        <f t="shared" ref="E94:F94" si="17">SUM(E95:E100)</f>
        <v>-10744.4</v>
      </c>
      <c r="F94" s="370">
        <f t="shared" si="17"/>
        <v>-31894.7</v>
      </c>
      <c r="G94" s="366">
        <f t="shared" si="9"/>
        <v>-21150.300000000003</v>
      </c>
      <c r="H94" s="370">
        <f t="shared" si="10"/>
        <v>296.84952161125796</v>
      </c>
    </row>
    <row r="95" spans="1:8" ht="33.75" customHeight="1">
      <c r="A95" s="353" t="s">
        <v>61</v>
      </c>
      <c r="B95" s="197">
        <v>3265</v>
      </c>
      <c r="C95" s="367"/>
      <c r="D95" s="367"/>
      <c r="E95" s="367"/>
      <c r="F95" s="367"/>
      <c r="G95" s="366">
        <f t="shared" si="9"/>
        <v>0</v>
      </c>
      <c r="H95" s="371" t="e">
        <f t="shared" si="10"/>
        <v>#DIV/0!</v>
      </c>
    </row>
    <row r="96" spans="1:8" ht="42" customHeight="1">
      <c r="A96" s="353" t="s">
        <v>125</v>
      </c>
      <c r="B96" s="197">
        <v>3266</v>
      </c>
      <c r="C96" s="367">
        <v>-927</v>
      </c>
      <c r="D96" s="367">
        <f>-30241.5+7</f>
        <v>-30234.5</v>
      </c>
      <c r="E96" s="367">
        <v>-8744.4</v>
      </c>
      <c r="F96" s="367">
        <f>D96</f>
        <v>-30234.5</v>
      </c>
      <c r="G96" s="366">
        <f t="shared" si="9"/>
        <v>-21490.1</v>
      </c>
      <c r="H96" s="367">
        <f t="shared" si="10"/>
        <v>345.75842825122368</v>
      </c>
    </row>
    <row r="97" spans="1:11" ht="42" customHeight="1">
      <c r="A97" s="353" t="s">
        <v>7</v>
      </c>
      <c r="B97" s="197">
        <v>3267</v>
      </c>
      <c r="C97" s="367">
        <v>-297.7</v>
      </c>
      <c r="D97" s="367">
        <f>-784.7+124.4</f>
        <v>-660.30000000000007</v>
      </c>
      <c r="E97" s="367"/>
      <c r="F97" s="367">
        <f>D97</f>
        <v>-660.30000000000007</v>
      </c>
      <c r="G97" s="366">
        <f t="shared" si="9"/>
        <v>-660.30000000000007</v>
      </c>
      <c r="H97" s="371" t="e">
        <f t="shared" si="10"/>
        <v>#DIV/0!</v>
      </c>
    </row>
    <row r="98" spans="1:11" ht="42" customHeight="1">
      <c r="A98" s="353" t="s">
        <v>126</v>
      </c>
      <c r="B98" s="197">
        <v>3268</v>
      </c>
      <c r="C98" s="367"/>
      <c r="D98" s="367"/>
      <c r="E98" s="367"/>
      <c r="F98" s="367"/>
      <c r="G98" s="366">
        <f t="shared" si="9"/>
        <v>0</v>
      </c>
      <c r="H98" s="371" t="e">
        <f t="shared" si="10"/>
        <v>#DIV/0!</v>
      </c>
    </row>
    <row r="99" spans="1:11" ht="66.75" customHeight="1">
      <c r="A99" s="353" t="s">
        <v>62</v>
      </c>
      <c r="B99" s="197">
        <v>3269</v>
      </c>
      <c r="C99" s="367"/>
      <c r="D99" s="367"/>
      <c r="E99" s="367"/>
      <c r="F99" s="367"/>
      <c r="G99" s="366">
        <f t="shared" si="9"/>
        <v>0</v>
      </c>
      <c r="H99" s="371" t="e">
        <f t="shared" si="10"/>
        <v>#DIV/0!</v>
      </c>
    </row>
    <row r="100" spans="1:11" ht="30.75" customHeight="1">
      <c r="A100" s="353" t="s">
        <v>63</v>
      </c>
      <c r="B100" s="197">
        <v>3270</v>
      </c>
      <c r="C100" s="367">
        <v>-552.29999999999995</v>
      </c>
      <c r="D100" s="367">
        <f>-1004.9+5</f>
        <v>-999.9</v>
      </c>
      <c r="E100" s="367">
        <v>-2000</v>
      </c>
      <c r="F100" s="367">
        <f>D100</f>
        <v>-999.9</v>
      </c>
      <c r="G100" s="366">
        <f t="shared" si="9"/>
        <v>1000.1</v>
      </c>
      <c r="H100" s="367">
        <f t="shared" si="10"/>
        <v>49.994999999999997</v>
      </c>
    </row>
    <row r="101" spans="1:11" ht="30.75" customHeight="1">
      <c r="A101" s="353" t="s">
        <v>49</v>
      </c>
      <c r="B101" s="197">
        <v>3280</v>
      </c>
      <c r="C101" s="367"/>
      <c r="D101" s="367"/>
      <c r="E101" s="367"/>
      <c r="F101" s="367"/>
      <c r="G101" s="366">
        <f t="shared" si="9"/>
        <v>0</v>
      </c>
      <c r="H101" s="371" t="e">
        <f t="shared" si="10"/>
        <v>#DIV/0!</v>
      </c>
    </row>
    <row r="102" spans="1:11" ht="44.25" customHeight="1">
      <c r="A102" s="326" t="s">
        <v>672</v>
      </c>
      <c r="B102" s="101">
        <v>3295</v>
      </c>
      <c r="C102" s="366">
        <f t="shared" ref="C102:F102" si="18">SUM(C91,C93)</f>
        <v>-1572.2</v>
      </c>
      <c r="D102" s="366">
        <f t="shared" si="18"/>
        <v>-8713.6000000000022</v>
      </c>
      <c r="E102" s="366">
        <f t="shared" si="18"/>
        <v>0</v>
      </c>
      <c r="F102" s="366">
        <f t="shared" si="18"/>
        <v>-8713.6000000000022</v>
      </c>
      <c r="G102" s="366">
        <f t="shared" si="9"/>
        <v>-8713.6000000000022</v>
      </c>
      <c r="H102" s="374" t="e">
        <f t="shared" si="10"/>
        <v>#DIV/0!</v>
      </c>
    </row>
    <row r="103" spans="1:11" ht="38.25" customHeight="1">
      <c r="A103" s="101" t="s">
        <v>650</v>
      </c>
      <c r="B103" s="101"/>
      <c r="C103" s="366"/>
      <c r="D103" s="366"/>
      <c r="E103" s="366"/>
      <c r="F103" s="366"/>
      <c r="G103" s="366"/>
      <c r="H103" s="366"/>
    </row>
    <row r="104" spans="1:11" ht="47.25" customHeight="1">
      <c r="A104" s="326" t="s">
        <v>651</v>
      </c>
      <c r="B104" s="101">
        <v>3300</v>
      </c>
      <c r="C104" s="366">
        <f>SUM(C105:C108)</f>
        <v>33.6</v>
      </c>
      <c r="D104" s="366">
        <f t="shared" ref="D104:F104" si="19">SUM(D105:D108)</f>
        <v>49</v>
      </c>
      <c r="E104" s="366">
        <f t="shared" si="19"/>
        <v>24.6</v>
      </c>
      <c r="F104" s="366">
        <f t="shared" si="19"/>
        <v>49</v>
      </c>
      <c r="G104" s="366">
        <f t="shared" si="9"/>
        <v>24.4</v>
      </c>
      <c r="H104" s="366">
        <f t="shared" si="10"/>
        <v>199.18699186991867</v>
      </c>
    </row>
    <row r="105" spans="1:11" ht="30.75" customHeight="1">
      <c r="A105" s="353" t="s">
        <v>673</v>
      </c>
      <c r="B105" s="197">
        <v>3310</v>
      </c>
      <c r="C105" s="367"/>
      <c r="D105" s="367"/>
      <c r="E105" s="367"/>
      <c r="F105" s="367"/>
      <c r="G105" s="366">
        <f t="shared" si="9"/>
        <v>0</v>
      </c>
      <c r="H105" s="371" t="e">
        <f t="shared" si="10"/>
        <v>#DIV/0!</v>
      </c>
    </row>
    <row r="106" spans="1:11" ht="39" customHeight="1">
      <c r="A106" s="353" t="s">
        <v>198</v>
      </c>
      <c r="B106" s="197">
        <v>3320</v>
      </c>
      <c r="C106" s="367"/>
      <c r="D106" s="367"/>
      <c r="E106" s="367"/>
      <c r="F106" s="367"/>
      <c r="G106" s="366">
        <f t="shared" si="9"/>
        <v>0</v>
      </c>
      <c r="H106" s="371" t="e">
        <f t="shared" si="10"/>
        <v>#DIV/0!</v>
      </c>
    </row>
    <row r="107" spans="1:11" ht="39" customHeight="1">
      <c r="A107" s="353" t="s">
        <v>674</v>
      </c>
      <c r="B107" s="197">
        <v>3330</v>
      </c>
      <c r="C107" s="367"/>
      <c r="D107" s="367"/>
      <c r="E107" s="367"/>
      <c r="F107" s="367"/>
      <c r="G107" s="366">
        <f t="shared" si="9"/>
        <v>0</v>
      </c>
      <c r="H107" s="371" t="e">
        <f t="shared" si="10"/>
        <v>#DIV/0!</v>
      </c>
    </row>
    <row r="108" spans="1:11" ht="30.75" customHeight="1">
      <c r="A108" s="353" t="s">
        <v>663</v>
      </c>
      <c r="B108" s="197">
        <v>3340</v>
      </c>
      <c r="C108" s="367">
        <v>33.6</v>
      </c>
      <c r="D108" s="367">
        <v>49</v>
      </c>
      <c r="E108" s="367">
        <v>24.6</v>
      </c>
      <c r="F108" s="367">
        <f>D108</f>
        <v>49</v>
      </c>
      <c r="G108" s="366">
        <f t="shared" si="9"/>
        <v>24.4</v>
      </c>
      <c r="H108" s="367">
        <f t="shared" si="10"/>
        <v>199.18699186991867</v>
      </c>
    </row>
    <row r="109" spans="1:11" ht="42" customHeight="1">
      <c r="A109" s="326" t="s">
        <v>652</v>
      </c>
      <c r="B109" s="101">
        <v>3345</v>
      </c>
      <c r="C109" s="366">
        <f>SUM(C110:C113)</f>
        <v>0</v>
      </c>
      <c r="D109" s="366">
        <f t="shared" ref="D109:F109" si="20">SUM(D110:D113)</f>
        <v>0</v>
      </c>
      <c r="E109" s="366">
        <f t="shared" si="20"/>
        <v>0</v>
      </c>
      <c r="F109" s="366">
        <f t="shared" si="20"/>
        <v>0</v>
      </c>
      <c r="G109" s="366">
        <f t="shared" si="9"/>
        <v>0</v>
      </c>
      <c r="H109" s="374" t="e">
        <f t="shared" si="10"/>
        <v>#DIV/0!</v>
      </c>
    </row>
    <row r="110" spans="1:11" ht="45.75" customHeight="1">
      <c r="A110" s="353" t="s">
        <v>675</v>
      </c>
      <c r="B110" s="197">
        <v>3350</v>
      </c>
      <c r="C110" s="366"/>
      <c r="D110" s="366"/>
      <c r="E110" s="366"/>
      <c r="F110" s="366"/>
      <c r="G110" s="366">
        <f t="shared" si="9"/>
        <v>0</v>
      </c>
      <c r="H110" s="371" t="e">
        <f t="shared" si="10"/>
        <v>#DIV/0!</v>
      </c>
    </row>
    <row r="111" spans="1:11" ht="30.75" customHeight="1">
      <c r="A111" s="353" t="s">
        <v>676</v>
      </c>
      <c r="B111" s="197">
        <v>3355</v>
      </c>
      <c r="C111" s="366"/>
      <c r="D111" s="366"/>
      <c r="E111" s="366"/>
      <c r="F111" s="366"/>
      <c r="G111" s="366">
        <f t="shared" si="9"/>
        <v>0</v>
      </c>
      <c r="H111" s="371" t="e">
        <f t="shared" si="10"/>
        <v>#DIV/0!</v>
      </c>
    </row>
    <row r="112" spans="1:11" ht="44.25" customHeight="1">
      <c r="A112" s="353" t="s">
        <v>677</v>
      </c>
      <c r="B112" s="197">
        <v>3360</v>
      </c>
      <c r="C112" s="366"/>
      <c r="D112" s="366"/>
      <c r="E112" s="366"/>
      <c r="F112" s="366"/>
      <c r="G112" s="366">
        <f t="shared" si="9"/>
        <v>0</v>
      </c>
      <c r="H112" s="371" t="e">
        <f t="shared" si="10"/>
        <v>#DIV/0!</v>
      </c>
      <c r="K112" s="347">
        <v>339.9</v>
      </c>
    </row>
    <row r="113" spans="1:15" ht="30.75" customHeight="1">
      <c r="A113" s="353" t="s">
        <v>49</v>
      </c>
      <c r="B113" s="197">
        <v>3365</v>
      </c>
      <c r="C113" s="366"/>
      <c r="D113" s="366"/>
      <c r="E113" s="366"/>
      <c r="F113" s="366"/>
      <c r="G113" s="366">
        <f t="shared" si="9"/>
        <v>0</v>
      </c>
      <c r="H113" s="371" t="e">
        <f t="shared" si="10"/>
        <v>#DIV/0!</v>
      </c>
    </row>
    <row r="114" spans="1:15" ht="30.75" customHeight="1">
      <c r="A114" s="326" t="s">
        <v>678</v>
      </c>
      <c r="B114" s="101">
        <v>3370</v>
      </c>
      <c r="C114" s="366">
        <f>SUM(C104,C109)</f>
        <v>33.6</v>
      </c>
      <c r="D114" s="366">
        <f>SUM(D104,D109)</f>
        <v>49</v>
      </c>
      <c r="E114" s="366">
        <f t="shared" ref="E114:F114" si="21">SUM(E104,E109)</f>
        <v>24.6</v>
      </c>
      <c r="F114" s="366">
        <f t="shared" si="21"/>
        <v>49</v>
      </c>
      <c r="G114" s="366">
        <f t="shared" si="9"/>
        <v>24.4</v>
      </c>
      <c r="H114" s="366">
        <f t="shared" si="10"/>
        <v>199.18699186991867</v>
      </c>
    </row>
    <row r="115" spans="1:15" ht="30.75" customHeight="1">
      <c r="A115" s="326" t="s">
        <v>679</v>
      </c>
      <c r="B115" s="101">
        <v>3400</v>
      </c>
      <c r="C115" s="366">
        <f t="shared" ref="C115:F115" si="22">SUM(C89,C102,C114)</f>
        <v>-2166.1999999999912</v>
      </c>
      <c r="D115" s="366">
        <f>SUM(D89,D102,D114)</f>
        <v>110.80000000000655</v>
      </c>
      <c r="E115" s="366">
        <f t="shared" si="22"/>
        <v>-92.299999999994185</v>
      </c>
      <c r="F115" s="366">
        <f t="shared" si="22"/>
        <v>110.80000000000655</v>
      </c>
      <c r="G115" s="366">
        <f t="shared" si="9"/>
        <v>203.10000000000073</v>
      </c>
      <c r="H115" s="366">
        <f t="shared" si="10"/>
        <v>-120.04333694476006</v>
      </c>
      <c r="O115" s="358"/>
    </row>
    <row r="116" spans="1:15" ht="30.75" customHeight="1">
      <c r="A116" s="353" t="s">
        <v>680</v>
      </c>
      <c r="B116" s="197">
        <v>3405</v>
      </c>
      <c r="C116" s="366">
        <v>2535.1</v>
      </c>
      <c r="D116" s="366">
        <v>368.9</v>
      </c>
      <c r="E116" s="366">
        <v>369.1</v>
      </c>
      <c r="F116" s="366">
        <v>368.9</v>
      </c>
      <c r="G116" s="366">
        <f t="shared" si="9"/>
        <v>-0.20000000000004547</v>
      </c>
      <c r="H116" s="366">
        <f t="shared" si="10"/>
        <v>99.945814142508794</v>
      </c>
    </row>
    <row r="117" spans="1:15" ht="30.75" customHeight="1">
      <c r="A117" s="326" t="s">
        <v>681</v>
      </c>
      <c r="B117" s="101">
        <v>3415</v>
      </c>
      <c r="C117" s="366">
        <f>SUM(C116,C115)</f>
        <v>368.90000000000873</v>
      </c>
      <c r="D117" s="366">
        <f t="shared" ref="D117" si="23">SUM(D116,D115)</f>
        <v>479.70000000000653</v>
      </c>
      <c r="E117" s="366">
        <f>SUM(E116,E115)</f>
        <v>276.80000000000587</v>
      </c>
      <c r="F117" s="366">
        <f t="shared" ref="F117" si="24">SUM(F116,F115)</f>
        <v>479.70000000000653</v>
      </c>
      <c r="G117" s="366">
        <f t="shared" si="9"/>
        <v>202.90000000000066</v>
      </c>
      <c r="H117" s="366">
        <f t="shared" si="10"/>
        <v>173.30202312138596</v>
      </c>
    </row>
    <row r="118" spans="1:15" ht="33" customHeight="1">
      <c r="A118" s="375" t="s">
        <v>99</v>
      </c>
      <c r="B118" s="375"/>
      <c r="C118" s="375"/>
      <c r="D118" s="375"/>
      <c r="E118" s="375"/>
      <c r="F118" s="375"/>
      <c r="G118" s="375"/>
      <c r="H118" s="375"/>
    </row>
    <row r="119" spans="1:15" ht="35.25" customHeight="1">
      <c r="A119" s="352" t="s">
        <v>19</v>
      </c>
      <c r="B119" s="329">
        <v>4000</v>
      </c>
      <c r="C119" s="103">
        <f>SUM(C120:C126)</f>
        <v>-1777</v>
      </c>
      <c r="D119" s="103">
        <f>SUM(D120:D126)</f>
        <v>-32031.100000000002</v>
      </c>
      <c r="E119" s="103">
        <f>SUM(E120:E126)</f>
        <v>-10744.4</v>
      </c>
      <c r="F119" s="103">
        <f>SUM(F120:F126)</f>
        <v>-32031.100000000002</v>
      </c>
      <c r="G119" s="103">
        <f>F119-E119</f>
        <v>-21286.700000000004</v>
      </c>
      <c r="H119" s="103">
        <f>(F119/E119)*100</f>
        <v>298.1190201407245</v>
      </c>
    </row>
    <row r="120" spans="1:15" ht="33.75" customHeight="1">
      <c r="A120" s="353" t="s">
        <v>61</v>
      </c>
      <c r="B120" s="100">
        <v>4010</v>
      </c>
      <c r="C120" s="354" t="s">
        <v>26</v>
      </c>
      <c r="D120" s="354" t="s">
        <v>26</v>
      </c>
      <c r="E120" s="354" t="s">
        <v>26</v>
      </c>
      <c r="F120" s="354" t="s">
        <v>26</v>
      </c>
      <c r="G120" s="355" t="e">
        <f t="shared" ref="G120:G126" si="25">F120-E120</f>
        <v>#VALUE!</v>
      </c>
      <c r="H120" s="355" t="e">
        <f t="shared" ref="H120:H126" si="26">(F120/E120)*100</f>
        <v>#VALUE!</v>
      </c>
    </row>
    <row r="121" spans="1:15" ht="48.75" customHeight="1">
      <c r="A121" s="353" t="s">
        <v>125</v>
      </c>
      <c r="B121" s="100">
        <v>4020</v>
      </c>
      <c r="C121" s="354">
        <v>-927</v>
      </c>
      <c r="D121" s="354">
        <v>-30241.5</v>
      </c>
      <c r="E121" s="354">
        <v>-8744.4</v>
      </c>
      <c r="F121" s="354">
        <f>D121</f>
        <v>-30241.5</v>
      </c>
      <c r="G121" s="354">
        <f t="shared" si="25"/>
        <v>-21497.1</v>
      </c>
      <c r="H121" s="354">
        <f t="shared" si="26"/>
        <v>345.83847948401262</v>
      </c>
    </row>
    <row r="122" spans="1:15" ht="48.75" customHeight="1">
      <c r="A122" s="353" t="s">
        <v>70</v>
      </c>
      <c r="B122" s="100">
        <v>4030</v>
      </c>
      <c r="C122" s="354">
        <v>-297.7</v>
      </c>
      <c r="D122" s="354">
        <v>-784.7</v>
      </c>
      <c r="E122" s="354" t="s">
        <v>26</v>
      </c>
      <c r="F122" s="354">
        <f>D122</f>
        <v>-784.7</v>
      </c>
      <c r="G122" s="355" t="e">
        <f t="shared" si="25"/>
        <v>#VALUE!</v>
      </c>
      <c r="H122" s="355" t="e">
        <f t="shared" si="26"/>
        <v>#VALUE!</v>
      </c>
    </row>
    <row r="123" spans="1:15" ht="49.5" customHeight="1">
      <c r="A123" s="353" t="s">
        <v>126</v>
      </c>
      <c r="B123" s="100">
        <v>4040</v>
      </c>
      <c r="C123" s="354"/>
      <c r="D123" s="354"/>
      <c r="E123" s="354" t="s">
        <v>26</v>
      </c>
      <c r="F123" s="354" t="s">
        <v>26</v>
      </c>
      <c r="G123" s="355" t="e">
        <f t="shared" si="25"/>
        <v>#VALUE!</v>
      </c>
      <c r="H123" s="355" t="e">
        <f t="shared" si="26"/>
        <v>#VALUE!</v>
      </c>
    </row>
    <row r="124" spans="1:15" ht="73.5" customHeight="1">
      <c r="A124" s="353" t="s">
        <v>62</v>
      </c>
      <c r="B124" s="100">
        <v>4050</v>
      </c>
      <c r="C124" s="354"/>
      <c r="D124" s="354"/>
      <c r="E124" s="354" t="s">
        <v>26</v>
      </c>
      <c r="F124" s="354" t="s">
        <v>26</v>
      </c>
      <c r="G124" s="355" t="e">
        <f t="shared" si="25"/>
        <v>#VALUE!</v>
      </c>
      <c r="H124" s="355" t="e">
        <f t="shared" si="26"/>
        <v>#VALUE!</v>
      </c>
    </row>
    <row r="125" spans="1:15" ht="35.25" customHeight="1">
      <c r="A125" s="353" t="s">
        <v>63</v>
      </c>
      <c r="B125" s="100">
        <v>4060</v>
      </c>
      <c r="C125" s="354">
        <v>-552.29999999999995</v>
      </c>
      <c r="D125" s="354">
        <v>-1004.9</v>
      </c>
      <c r="E125" s="354">
        <v>-2000</v>
      </c>
      <c r="F125" s="354">
        <f>D125</f>
        <v>-1004.9</v>
      </c>
      <c r="G125" s="354">
        <f t="shared" si="25"/>
        <v>995.1</v>
      </c>
      <c r="H125" s="354">
        <f t="shared" si="26"/>
        <v>50.244999999999997</v>
      </c>
    </row>
    <row r="126" spans="1:15" ht="39.75" customHeight="1">
      <c r="A126" s="353" t="s">
        <v>49</v>
      </c>
      <c r="B126" s="100">
        <v>4070</v>
      </c>
      <c r="C126" s="354" t="s">
        <v>26</v>
      </c>
      <c r="D126" s="354" t="s">
        <v>26</v>
      </c>
      <c r="E126" s="354" t="s">
        <v>26</v>
      </c>
      <c r="F126" s="354" t="s">
        <v>26</v>
      </c>
      <c r="G126" s="355" t="e">
        <f t="shared" si="25"/>
        <v>#VALUE!</v>
      </c>
      <c r="H126" s="355" t="e">
        <f t="shared" si="26"/>
        <v>#VALUE!</v>
      </c>
    </row>
    <row r="127" spans="1:15" ht="36.75" customHeight="1">
      <c r="A127" s="361" t="s">
        <v>100</v>
      </c>
      <c r="B127" s="361"/>
      <c r="C127" s="361"/>
      <c r="D127" s="361"/>
      <c r="E127" s="361"/>
      <c r="F127" s="361"/>
      <c r="G127" s="361"/>
      <c r="H127" s="361"/>
    </row>
    <row r="128" spans="1:15" ht="63" customHeight="1">
      <c r="A128" s="376"/>
      <c r="B128" s="376"/>
      <c r="C128" s="212" t="s">
        <v>119</v>
      </c>
      <c r="D128" s="212"/>
      <c r="E128" s="350" t="s">
        <v>517</v>
      </c>
      <c r="F128" s="350"/>
      <c r="G128" s="350"/>
      <c r="H128" s="350"/>
    </row>
    <row r="129" spans="1:17" ht="45" customHeight="1">
      <c r="A129" s="376"/>
      <c r="B129" s="376"/>
      <c r="C129" s="197" t="s">
        <v>520</v>
      </c>
      <c r="D129" s="197" t="s">
        <v>519</v>
      </c>
      <c r="E129" s="149" t="s">
        <v>106</v>
      </c>
      <c r="F129" s="149" t="s">
        <v>107</v>
      </c>
      <c r="G129" s="149" t="s">
        <v>108</v>
      </c>
      <c r="H129" s="149" t="s">
        <v>109</v>
      </c>
    </row>
    <row r="130" spans="1:17" s="94" customFormat="1" ht="86.25" customHeight="1">
      <c r="A130" s="364" t="s">
        <v>127</v>
      </c>
      <c r="B130" s="308" t="s">
        <v>30</v>
      </c>
      <c r="C130" s="377">
        <f>SUM(C131:C133)</f>
        <v>523</v>
      </c>
      <c r="D130" s="377">
        <f>SUM(D131:D133)</f>
        <v>473</v>
      </c>
      <c r="E130" s="377">
        <f>SUM(E131:E133)</f>
        <v>524</v>
      </c>
      <c r="F130" s="377">
        <f>SUM(F131:F133)</f>
        <v>473</v>
      </c>
      <c r="G130" s="377" t="s">
        <v>128</v>
      </c>
      <c r="H130" s="378" t="s">
        <v>128</v>
      </c>
    </row>
    <row r="131" spans="1:17" ht="27.75" customHeight="1">
      <c r="A131" s="356" t="s">
        <v>21</v>
      </c>
      <c r="B131" s="100" t="s">
        <v>31</v>
      </c>
      <c r="C131" s="379">
        <v>1</v>
      </c>
      <c r="D131" s="379">
        <v>1</v>
      </c>
      <c r="E131" s="379">
        <v>1</v>
      </c>
      <c r="F131" s="379">
        <f>D131</f>
        <v>1</v>
      </c>
      <c r="G131" s="379" t="s">
        <v>128</v>
      </c>
      <c r="H131" s="360" t="s">
        <v>128</v>
      </c>
      <c r="K131" s="380"/>
      <c r="L131" s="380"/>
    </row>
    <row r="132" spans="1:17" ht="27.75" customHeight="1">
      <c r="A132" s="356" t="s">
        <v>24</v>
      </c>
      <c r="B132" s="100" t="s">
        <v>32</v>
      </c>
      <c r="C132" s="379">
        <v>58</v>
      </c>
      <c r="D132" s="379">
        <v>50</v>
      </c>
      <c r="E132" s="379">
        <v>58</v>
      </c>
      <c r="F132" s="379">
        <f>D132</f>
        <v>50</v>
      </c>
      <c r="G132" s="379" t="s">
        <v>128</v>
      </c>
      <c r="H132" s="360" t="s">
        <v>128</v>
      </c>
      <c r="J132" s="380"/>
      <c r="K132" s="380"/>
      <c r="L132" s="381"/>
    </row>
    <row r="133" spans="1:17" ht="27.75" customHeight="1">
      <c r="A133" s="356" t="s">
        <v>22</v>
      </c>
      <c r="B133" s="100" t="s">
        <v>33</v>
      </c>
      <c r="C133" s="379">
        <v>464</v>
      </c>
      <c r="D133" s="379">
        <f>403+19</f>
        <v>422</v>
      </c>
      <c r="E133" s="379">
        <v>465</v>
      </c>
      <c r="F133" s="379">
        <f>D133</f>
        <v>422</v>
      </c>
      <c r="G133" s="379" t="s">
        <v>128</v>
      </c>
      <c r="H133" s="360" t="s">
        <v>128</v>
      </c>
      <c r="J133" s="380"/>
      <c r="K133" s="380"/>
      <c r="L133" s="381"/>
    </row>
    <row r="134" spans="1:17" ht="27.75" customHeight="1">
      <c r="A134" s="352" t="s">
        <v>71</v>
      </c>
      <c r="B134" s="329" t="s">
        <v>34</v>
      </c>
      <c r="C134" s="103">
        <f>SUM(C135:C137)</f>
        <v>53283.100000000006</v>
      </c>
      <c r="D134" s="103">
        <f>SUM(D135:D137)</f>
        <v>64938.399999999994</v>
      </c>
      <c r="E134" s="103">
        <f>SUM(E135:E137)</f>
        <v>54064.1</v>
      </c>
      <c r="F134" s="103">
        <f>SUM(F135:F137)</f>
        <v>64938.399999999994</v>
      </c>
      <c r="G134" s="378" t="s">
        <v>128</v>
      </c>
      <c r="H134" s="378" t="s">
        <v>128</v>
      </c>
      <c r="J134" s="380"/>
      <c r="K134" s="380"/>
    </row>
    <row r="135" spans="1:17" ht="27.75" customHeight="1">
      <c r="A135" s="356" t="s">
        <v>21</v>
      </c>
      <c r="B135" s="100">
        <v>8011</v>
      </c>
      <c r="C135" s="354">
        <v>443.1</v>
      </c>
      <c r="D135" s="354">
        <v>528.9</v>
      </c>
      <c r="E135" s="382">
        <v>414</v>
      </c>
      <c r="F135" s="382">
        <f>D135</f>
        <v>528.9</v>
      </c>
      <c r="G135" s="360" t="s">
        <v>128</v>
      </c>
      <c r="H135" s="360" t="s">
        <v>128</v>
      </c>
      <c r="I135" s="358"/>
      <c r="J135" s="380"/>
      <c r="K135" s="380"/>
      <c r="M135" s="358"/>
      <c r="Q135" s="380"/>
    </row>
    <row r="136" spans="1:17" ht="27.75" customHeight="1">
      <c r="A136" s="356" t="s">
        <v>24</v>
      </c>
      <c r="B136" s="100">
        <v>8012</v>
      </c>
      <c r="C136" s="354">
        <v>5984.2</v>
      </c>
      <c r="D136" s="354">
        <v>7686.8</v>
      </c>
      <c r="E136" s="382">
        <v>5984.2</v>
      </c>
      <c r="F136" s="382">
        <f>D136</f>
        <v>7686.8</v>
      </c>
      <c r="G136" s="360" t="s">
        <v>128</v>
      </c>
      <c r="H136" s="360" t="s">
        <v>128</v>
      </c>
      <c r="I136" s="358"/>
      <c r="J136" s="383"/>
      <c r="K136" s="380"/>
      <c r="Q136" s="380"/>
    </row>
    <row r="137" spans="1:17" ht="27.75" customHeight="1">
      <c r="A137" s="356" t="s">
        <v>22</v>
      </c>
      <c r="B137" s="100">
        <v>8013</v>
      </c>
      <c r="C137" s="354">
        <v>46855.8</v>
      </c>
      <c r="D137" s="354">
        <v>56722.7</v>
      </c>
      <c r="E137" s="382">
        <v>47665.9</v>
      </c>
      <c r="F137" s="382">
        <f>D137</f>
        <v>56722.7</v>
      </c>
      <c r="G137" s="360" t="s">
        <v>128</v>
      </c>
      <c r="H137" s="360" t="s">
        <v>128</v>
      </c>
      <c r="J137" s="380"/>
      <c r="K137" s="380"/>
      <c r="M137" s="380"/>
      <c r="Q137" s="380"/>
    </row>
    <row r="138" spans="1:17" ht="27.75" customHeight="1">
      <c r="A138" s="352" t="s">
        <v>2</v>
      </c>
      <c r="B138" s="329">
        <v>8020</v>
      </c>
      <c r="C138" s="103">
        <f>C46</f>
        <v>53283.1</v>
      </c>
      <c r="D138" s="103">
        <f>D46</f>
        <v>64938.400000000001</v>
      </c>
      <c r="E138" s="103">
        <f>E46</f>
        <v>54064.1</v>
      </c>
      <c r="F138" s="103">
        <f>F46</f>
        <v>64938.400000000001</v>
      </c>
      <c r="G138" s="378" t="s">
        <v>128</v>
      </c>
      <c r="H138" s="378" t="s">
        <v>128</v>
      </c>
      <c r="J138" s="380"/>
      <c r="K138" s="380"/>
      <c r="Q138" s="380"/>
    </row>
    <row r="139" spans="1:17" ht="27.75" customHeight="1">
      <c r="A139" s="356" t="s">
        <v>21</v>
      </c>
      <c r="B139" s="100">
        <v>8021</v>
      </c>
      <c r="C139" s="354">
        <f t="shared" ref="C139:E141" si="27">C135</f>
        <v>443.1</v>
      </c>
      <c r="D139" s="354">
        <f t="shared" si="27"/>
        <v>528.9</v>
      </c>
      <c r="E139" s="354">
        <f t="shared" si="27"/>
        <v>414</v>
      </c>
      <c r="F139" s="382">
        <f>D139</f>
        <v>528.9</v>
      </c>
      <c r="G139" s="360" t="s">
        <v>128</v>
      </c>
      <c r="H139" s="360" t="s">
        <v>128</v>
      </c>
      <c r="J139" s="380"/>
      <c r="K139" s="380"/>
    </row>
    <row r="140" spans="1:17" ht="27.75" customHeight="1">
      <c r="A140" s="356" t="s">
        <v>24</v>
      </c>
      <c r="B140" s="100">
        <v>8022</v>
      </c>
      <c r="C140" s="354">
        <f t="shared" si="27"/>
        <v>5984.2</v>
      </c>
      <c r="D140" s="354">
        <f t="shared" si="27"/>
        <v>7686.8</v>
      </c>
      <c r="E140" s="354">
        <f t="shared" si="27"/>
        <v>5984.2</v>
      </c>
      <c r="F140" s="382">
        <f>D140</f>
        <v>7686.8</v>
      </c>
      <c r="G140" s="360" t="s">
        <v>128</v>
      </c>
      <c r="H140" s="360" t="s">
        <v>128</v>
      </c>
      <c r="I140" s="358"/>
      <c r="J140" s="380"/>
      <c r="K140" s="381"/>
      <c r="M140" s="358"/>
    </row>
    <row r="141" spans="1:17" ht="27.75" customHeight="1">
      <c r="A141" s="356" t="s">
        <v>22</v>
      </c>
      <c r="B141" s="100">
        <v>8023</v>
      </c>
      <c r="C141" s="354">
        <f t="shared" si="27"/>
        <v>46855.8</v>
      </c>
      <c r="D141" s="354">
        <f t="shared" si="27"/>
        <v>56722.7</v>
      </c>
      <c r="E141" s="354">
        <f t="shared" si="27"/>
        <v>47665.9</v>
      </c>
      <c r="F141" s="382">
        <f>D141</f>
        <v>56722.7</v>
      </c>
      <c r="G141" s="360" t="s">
        <v>128</v>
      </c>
      <c r="H141" s="360" t="s">
        <v>128</v>
      </c>
      <c r="J141" s="380"/>
      <c r="M141" s="358"/>
    </row>
    <row r="142" spans="1:17" s="94" customFormat="1" ht="52.5" customHeight="1">
      <c r="A142" s="364" t="s">
        <v>48</v>
      </c>
      <c r="B142" s="308" t="s">
        <v>72</v>
      </c>
      <c r="C142" s="377">
        <f t="shared" ref="C142:D144" si="28">(C138/C130)/12*1000</f>
        <v>8489.9776927979583</v>
      </c>
      <c r="D142" s="377">
        <f t="shared" si="28"/>
        <v>11440.873854827343</v>
      </c>
      <c r="E142" s="377">
        <f>(E138/E130)/9*1000</f>
        <v>11463.973706530958</v>
      </c>
      <c r="F142" s="377">
        <f>(F138/F130)/12*1000</f>
        <v>11440.873854827343</v>
      </c>
      <c r="G142" s="377" t="s">
        <v>128</v>
      </c>
      <c r="H142" s="378" t="s">
        <v>128</v>
      </c>
      <c r="M142" s="384"/>
    </row>
    <row r="143" spans="1:17" ht="27.75" customHeight="1">
      <c r="A143" s="356" t="s">
        <v>21</v>
      </c>
      <c r="B143" s="100">
        <v>8031</v>
      </c>
      <c r="C143" s="379">
        <f t="shared" si="28"/>
        <v>36925.000000000007</v>
      </c>
      <c r="D143" s="379">
        <f t="shared" si="28"/>
        <v>44074.999999999993</v>
      </c>
      <c r="E143" s="379">
        <v>34500</v>
      </c>
      <c r="F143" s="379">
        <f>D143</f>
        <v>44074.999999999993</v>
      </c>
      <c r="G143" s="379" t="s">
        <v>128</v>
      </c>
      <c r="H143" s="360" t="s">
        <v>128</v>
      </c>
    </row>
    <row r="144" spans="1:17" ht="27.75" customHeight="1">
      <c r="A144" s="356" t="s">
        <v>24</v>
      </c>
      <c r="B144" s="100">
        <v>8032</v>
      </c>
      <c r="C144" s="379">
        <f t="shared" si="28"/>
        <v>8597.9885057471274</v>
      </c>
      <c r="D144" s="379">
        <f t="shared" si="28"/>
        <v>12811.333333333332</v>
      </c>
      <c r="E144" s="379">
        <v>8598</v>
      </c>
      <c r="F144" s="379">
        <f>D144</f>
        <v>12811.333333333332</v>
      </c>
      <c r="G144" s="379" t="s">
        <v>128</v>
      </c>
      <c r="H144" s="360" t="s">
        <v>128</v>
      </c>
    </row>
    <row r="145" spans="1:20" ht="27.75" customHeight="1">
      <c r="A145" s="356" t="s">
        <v>22</v>
      </c>
      <c r="B145" s="100">
        <v>8033</v>
      </c>
      <c r="C145" s="379">
        <v>7760</v>
      </c>
      <c r="D145" s="379">
        <f>(D141/D133)/12*1000</f>
        <v>11201.165086887835</v>
      </c>
      <c r="E145" s="379">
        <v>8542</v>
      </c>
      <c r="F145" s="379">
        <f>D145</f>
        <v>11201.165086887835</v>
      </c>
      <c r="G145" s="379" t="s">
        <v>128</v>
      </c>
      <c r="H145" s="360" t="s">
        <v>128</v>
      </c>
    </row>
    <row r="146" spans="1:20" s="94" customFormat="1">
      <c r="A146" s="385"/>
      <c r="C146" s="386"/>
      <c r="D146" s="387"/>
      <c r="E146" s="388"/>
      <c r="F146" s="388"/>
      <c r="G146" s="388"/>
      <c r="H146" s="388"/>
    </row>
    <row r="147" spans="1:20" s="94" customFormat="1">
      <c r="A147" s="385"/>
      <c r="C147" s="386"/>
      <c r="D147" s="387"/>
      <c r="E147" s="388"/>
      <c r="F147" s="388"/>
      <c r="G147" s="388"/>
      <c r="H147" s="388"/>
      <c r="J147" s="389"/>
      <c r="T147" s="384"/>
    </row>
    <row r="148" spans="1:20" s="94" customFormat="1" ht="28.5" customHeight="1">
      <c r="A148" s="390" t="s">
        <v>713</v>
      </c>
      <c r="B148" s="391"/>
      <c r="C148" s="392"/>
      <c r="D148" s="393"/>
      <c r="E148" s="394"/>
      <c r="F148" s="394"/>
      <c r="G148" s="209" t="s">
        <v>201</v>
      </c>
      <c r="H148" s="209"/>
      <c r="I148" s="395"/>
      <c r="J148" s="389"/>
    </row>
    <row r="149" spans="1:20" s="94" customFormat="1">
      <c r="A149" s="94" t="s">
        <v>10</v>
      </c>
      <c r="B149" s="347"/>
      <c r="C149" s="396" t="s">
        <v>11</v>
      </c>
      <c r="D149" s="396"/>
      <c r="E149" s="348"/>
      <c r="F149" s="348"/>
      <c r="G149" s="397" t="s">
        <v>16</v>
      </c>
      <c r="H149" s="397"/>
    </row>
    <row r="150" spans="1:20" s="94" customFormat="1">
      <c r="A150" s="398"/>
      <c r="E150" s="347"/>
      <c r="F150" s="347"/>
      <c r="G150" s="347"/>
      <c r="H150" s="347"/>
    </row>
    <row r="151" spans="1:20" s="94" customFormat="1">
      <c r="A151" s="398"/>
      <c r="E151" s="347"/>
      <c r="F151" s="347"/>
      <c r="G151" s="347"/>
      <c r="H151" s="347"/>
    </row>
    <row r="152" spans="1:20" s="94" customFormat="1">
      <c r="A152" s="398"/>
      <c r="E152" s="347"/>
      <c r="F152" s="347"/>
      <c r="G152" s="347"/>
      <c r="H152" s="347"/>
    </row>
    <row r="153" spans="1:20" s="94" customFormat="1">
      <c r="A153" s="398"/>
      <c r="E153" s="347"/>
      <c r="F153" s="347"/>
      <c r="G153" s="347"/>
      <c r="H153" s="347"/>
    </row>
    <row r="154" spans="1:20" s="94" customFormat="1">
      <c r="A154" s="398"/>
      <c r="E154" s="347"/>
      <c r="F154" s="347"/>
      <c r="G154" s="347"/>
      <c r="H154" s="347"/>
    </row>
    <row r="155" spans="1:20" s="94" customFormat="1">
      <c r="A155" s="398"/>
      <c r="E155" s="347"/>
      <c r="F155" s="347"/>
      <c r="G155" s="347"/>
      <c r="H155" s="347"/>
    </row>
    <row r="156" spans="1:20" s="94" customFormat="1">
      <c r="A156" s="398"/>
      <c r="E156" s="347"/>
      <c r="F156" s="347"/>
      <c r="G156" s="347"/>
      <c r="H156" s="347"/>
    </row>
    <row r="157" spans="1:20" s="94" customFormat="1">
      <c r="A157" s="398"/>
      <c r="E157" s="347"/>
      <c r="F157" s="347"/>
      <c r="G157" s="347"/>
      <c r="H157" s="347"/>
    </row>
    <row r="158" spans="1:20" s="94" customFormat="1">
      <c r="A158" s="398"/>
      <c r="E158" s="347"/>
      <c r="F158" s="347"/>
      <c r="G158" s="347"/>
      <c r="H158" s="347"/>
    </row>
    <row r="159" spans="1:20" s="94" customFormat="1">
      <c r="A159" s="398"/>
      <c r="E159" s="347"/>
      <c r="F159" s="347"/>
      <c r="G159" s="347"/>
      <c r="H159" s="347"/>
    </row>
    <row r="160" spans="1:20" s="94" customFormat="1">
      <c r="A160" s="398"/>
      <c r="E160" s="347"/>
      <c r="F160" s="347"/>
      <c r="G160" s="347"/>
      <c r="H160" s="347"/>
    </row>
    <row r="161" spans="1:8" s="94" customFormat="1">
      <c r="A161" s="398"/>
      <c r="E161" s="347"/>
      <c r="F161" s="347"/>
      <c r="G161" s="347"/>
      <c r="H161" s="347"/>
    </row>
    <row r="162" spans="1:8" s="94" customFormat="1">
      <c r="A162" s="398"/>
      <c r="E162" s="347"/>
      <c r="F162" s="347"/>
      <c r="G162" s="347"/>
      <c r="H162" s="347"/>
    </row>
    <row r="163" spans="1:8" s="94" customFormat="1">
      <c r="A163" s="398"/>
      <c r="E163" s="347"/>
      <c r="F163" s="347"/>
      <c r="G163" s="347"/>
      <c r="H163" s="347"/>
    </row>
    <row r="164" spans="1:8" s="94" customFormat="1">
      <c r="A164" s="398"/>
      <c r="E164" s="347"/>
      <c r="F164" s="347"/>
      <c r="G164" s="347"/>
      <c r="H164" s="347"/>
    </row>
    <row r="165" spans="1:8" s="94" customFormat="1">
      <c r="A165" s="398"/>
      <c r="E165" s="347"/>
      <c r="F165" s="347"/>
      <c r="G165" s="347"/>
      <c r="H165" s="347"/>
    </row>
    <row r="166" spans="1:8" s="94" customFormat="1">
      <c r="A166" s="398"/>
      <c r="E166" s="347"/>
      <c r="F166" s="347"/>
      <c r="G166" s="347"/>
      <c r="H166" s="347"/>
    </row>
    <row r="167" spans="1:8" s="94" customFormat="1">
      <c r="A167" s="398"/>
      <c r="E167" s="347"/>
      <c r="F167" s="347"/>
      <c r="G167" s="347"/>
      <c r="H167" s="347"/>
    </row>
    <row r="168" spans="1:8" s="94" customFormat="1">
      <c r="A168" s="398"/>
      <c r="E168" s="347"/>
      <c r="F168" s="347"/>
      <c r="G168" s="347"/>
      <c r="H168" s="347"/>
    </row>
    <row r="169" spans="1:8" s="94" customFormat="1">
      <c r="A169" s="398"/>
      <c r="E169" s="347"/>
      <c r="F169" s="347"/>
      <c r="G169" s="347"/>
      <c r="H169" s="347"/>
    </row>
    <row r="170" spans="1:8" s="94" customFormat="1">
      <c r="A170" s="398"/>
      <c r="E170" s="347"/>
      <c r="F170" s="347"/>
      <c r="G170" s="347"/>
      <c r="H170" s="347"/>
    </row>
    <row r="171" spans="1:8" s="94" customFormat="1">
      <c r="A171" s="398"/>
      <c r="E171" s="347"/>
      <c r="F171" s="347"/>
      <c r="G171" s="347"/>
      <c r="H171" s="347"/>
    </row>
    <row r="172" spans="1:8" s="94" customFormat="1">
      <c r="A172" s="398"/>
      <c r="E172" s="347"/>
      <c r="F172" s="347"/>
      <c r="G172" s="347"/>
      <c r="H172" s="347"/>
    </row>
    <row r="173" spans="1:8" s="94" customFormat="1">
      <c r="A173" s="398"/>
      <c r="E173" s="347"/>
      <c r="F173" s="347"/>
      <c r="G173" s="347"/>
      <c r="H173" s="347"/>
    </row>
    <row r="174" spans="1:8" s="94" customFormat="1">
      <c r="A174" s="398"/>
      <c r="E174" s="347"/>
      <c r="F174" s="347"/>
      <c r="G174" s="347"/>
      <c r="H174" s="347"/>
    </row>
    <row r="175" spans="1:8" s="94" customFormat="1">
      <c r="A175" s="398"/>
      <c r="E175" s="347"/>
      <c r="F175" s="347"/>
      <c r="G175" s="347"/>
      <c r="H175" s="347"/>
    </row>
    <row r="176" spans="1:8" s="94" customFormat="1">
      <c r="A176" s="398"/>
      <c r="E176" s="347"/>
      <c r="F176" s="347"/>
      <c r="G176" s="347"/>
      <c r="H176" s="347"/>
    </row>
    <row r="177" spans="1:8" s="94" customFormat="1">
      <c r="A177" s="398"/>
      <c r="E177" s="347"/>
      <c r="F177" s="347"/>
      <c r="G177" s="347"/>
      <c r="H177" s="347"/>
    </row>
    <row r="178" spans="1:8" s="94" customFormat="1">
      <c r="A178" s="398"/>
      <c r="E178" s="347"/>
      <c r="F178" s="347"/>
      <c r="G178" s="347"/>
      <c r="H178" s="347"/>
    </row>
    <row r="179" spans="1:8" s="94" customFormat="1">
      <c r="A179" s="398"/>
      <c r="E179" s="347"/>
      <c r="F179" s="347"/>
      <c r="G179" s="347"/>
      <c r="H179" s="347"/>
    </row>
    <row r="180" spans="1:8" s="94" customFormat="1">
      <c r="A180" s="398"/>
      <c r="E180" s="347"/>
      <c r="F180" s="347"/>
      <c r="G180" s="347"/>
      <c r="H180" s="347"/>
    </row>
    <row r="181" spans="1:8" s="94" customFormat="1">
      <c r="A181" s="398"/>
      <c r="E181" s="347"/>
      <c r="F181" s="347"/>
      <c r="G181" s="347"/>
      <c r="H181" s="347"/>
    </row>
    <row r="182" spans="1:8" s="94" customFormat="1">
      <c r="A182" s="398"/>
      <c r="E182" s="347"/>
      <c r="F182" s="347"/>
      <c r="G182" s="347"/>
      <c r="H182" s="347"/>
    </row>
    <row r="183" spans="1:8" s="94" customFormat="1">
      <c r="A183" s="398"/>
      <c r="E183" s="347"/>
      <c r="F183" s="347"/>
      <c r="G183" s="347"/>
      <c r="H183" s="347"/>
    </row>
    <row r="184" spans="1:8" s="94" customFormat="1">
      <c r="A184" s="398"/>
      <c r="E184" s="347"/>
      <c r="F184" s="347"/>
      <c r="G184" s="347"/>
      <c r="H184" s="347"/>
    </row>
    <row r="185" spans="1:8" s="94" customFormat="1">
      <c r="A185" s="398"/>
      <c r="E185" s="347"/>
      <c r="F185" s="347"/>
      <c r="G185" s="347"/>
      <c r="H185" s="347"/>
    </row>
    <row r="186" spans="1:8" s="94" customFormat="1">
      <c r="A186" s="398"/>
      <c r="E186" s="347"/>
      <c r="F186" s="347"/>
      <c r="G186" s="347"/>
      <c r="H186" s="347"/>
    </row>
    <row r="187" spans="1:8" s="94" customFormat="1">
      <c r="A187" s="398"/>
      <c r="E187" s="347"/>
      <c r="F187" s="347"/>
      <c r="G187" s="347"/>
      <c r="H187" s="347"/>
    </row>
    <row r="188" spans="1:8" s="94" customFormat="1">
      <c r="A188" s="398"/>
      <c r="E188" s="347"/>
      <c r="F188" s="347"/>
      <c r="G188" s="347"/>
      <c r="H188" s="347"/>
    </row>
    <row r="189" spans="1:8" s="94" customFormat="1">
      <c r="A189" s="398"/>
      <c r="E189" s="347"/>
      <c r="F189" s="347"/>
      <c r="G189" s="347"/>
      <c r="H189" s="347"/>
    </row>
    <row r="190" spans="1:8" s="94" customFormat="1">
      <c r="A190" s="398"/>
      <c r="E190" s="347"/>
      <c r="F190" s="347"/>
      <c r="G190" s="347"/>
      <c r="H190" s="347"/>
    </row>
    <row r="191" spans="1:8" s="94" customFormat="1">
      <c r="A191" s="398"/>
      <c r="E191" s="347"/>
      <c r="F191" s="347"/>
      <c r="G191" s="347"/>
      <c r="H191" s="347"/>
    </row>
    <row r="192" spans="1:8" s="94" customFormat="1">
      <c r="A192" s="398"/>
      <c r="E192" s="347"/>
      <c r="F192" s="347"/>
      <c r="G192" s="347"/>
      <c r="H192" s="347"/>
    </row>
    <row r="193" spans="1:8" s="94" customFormat="1">
      <c r="A193" s="398"/>
      <c r="E193" s="347"/>
      <c r="F193" s="347"/>
      <c r="G193" s="347"/>
      <c r="H193" s="347"/>
    </row>
    <row r="194" spans="1:8" s="94" customFormat="1">
      <c r="A194" s="398"/>
      <c r="E194" s="347"/>
      <c r="F194" s="347"/>
      <c r="G194" s="347"/>
      <c r="H194" s="347"/>
    </row>
    <row r="195" spans="1:8" s="94" customFormat="1">
      <c r="A195" s="398"/>
      <c r="E195" s="347"/>
      <c r="F195" s="347"/>
      <c r="G195" s="347"/>
      <c r="H195" s="347"/>
    </row>
    <row r="196" spans="1:8" s="94" customFormat="1">
      <c r="A196" s="398"/>
      <c r="E196" s="347"/>
      <c r="F196" s="347"/>
      <c r="G196" s="347"/>
      <c r="H196" s="347"/>
    </row>
    <row r="197" spans="1:8" s="94" customFormat="1">
      <c r="A197" s="398"/>
      <c r="E197" s="347"/>
      <c r="F197" s="347"/>
      <c r="G197" s="347"/>
      <c r="H197" s="347"/>
    </row>
    <row r="198" spans="1:8" s="94" customFormat="1">
      <c r="A198" s="398"/>
      <c r="E198" s="347"/>
      <c r="F198" s="347"/>
      <c r="G198" s="347"/>
      <c r="H198" s="347"/>
    </row>
    <row r="199" spans="1:8" s="94" customFormat="1">
      <c r="A199" s="398"/>
      <c r="E199" s="347"/>
      <c r="F199" s="347"/>
      <c r="G199" s="347"/>
      <c r="H199" s="347"/>
    </row>
    <row r="200" spans="1:8" s="94" customFormat="1">
      <c r="A200" s="398"/>
      <c r="E200" s="347"/>
      <c r="F200" s="347"/>
      <c r="G200" s="347"/>
      <c r="H200" s="347"/>
    </row>
    <row r="201" spans="1:8" s="94" customFormat="1">
      <c r="A201" s="398"/>
      <c r="E201" s="347"/>
      <c r="F201" s="347"/>
      <c r="G201" s="347"/>
      <c r="H201" s="347"/>
    </row>
    <row r="202" spans="1:8" s="94" customFormat="1">
      <c r="A202" s="398"/>
      <c r="E202" s="347"/>
      <c r="F202" s="347"/>
      <c r="G202" s="347"/>
      <c r="H202" s="347"/>
    </row>
    <row r="203" spans="1:8" s="94" customFormat="1">
      <c r="A203" s="398"/>
      <c r="E203" s="347"/>
      <c r="F203" s="347"/>
      <c r="G203" s="347"/>
      <c r="H203" s="347"/>
    </row>
    <row r="204" spans="1:8" s="94" customFormat="1">
      <c r="A204" s="398"/>
      <c r="E204" s="347"/>
      <c r="F204" s="347"/>
      <c r="G204" s="347"/>
      <c r="H204" s="347"/>
    </row>
    <row r="205" spans="1:8" s="94" customFormat="1">
      <c r="A205" s="398"/>
      <c r="E205" s="347"/>
      <c r="F205" s="347"/>
      <c r="G205" s="347"/>
      <c r="H205" s="347"/>
    </row>
    <row r="206" spans="1:8" s="94" customFormat="1">
      <c r="A206" s="398"/>
      <c r="E206" s="347"/>
      <c r="F206" s="347"/>
      <c r="G206" s="347"/>
      <c r="H206" s="347"/>
    </row>
    <row r="207" spans="1:8" s="94" customFormat="1">
      <c r="A207" s="398"/>
      <c r="E207" s="347"/>
      <c r="F207" s="347"/>
      <c r="G207" s="347"/>
      <c r="H207" s="347"/>
    </row>
    <row r="208" spans="1:8" s="94" customFormat="1">
      <c r="A208" s="398"/>
      <c r="E208" s="347"/>
      <c r="F208" s="347"/>
      <c r="G208" s="347"/>
      <c r="H208" s="347"/>
    </row>
    <row r="209" spans="1:8" s="94" customFormat="1">
      <c r="A209" s="398"/>
      <c r="E209" s="347"/>
      <c r="F209" s="347"/>
      <c r="G209" s="347"/>
      <c r="H209" s="347"/>
    </row>
    <row r="210" spans="1:8" s="94" customFormat="1">
      <c r="A210" s="398"/>
      <c r="E210" s="347"/>
      <c r="F210" s="347"/>
      <c r="G210" s="347"/>
      <c r="H210" s="347"/>
    </row>
    <row r="211" spans="1:8" s="94" customFormat="1">
      <c r="A211" s="398"/>
      <c r="E211" s="347"/>
      <c r="F211" s="347"/>
      <c r="G211" s="347"/>
      <c r="H211" s="347"/>
    </row>
    <row r="212" spans="1:8" s="94" customFormat="1">
      <c r="A212" s="398"/>
      <c r="E212" s="347"/>
      <c r="F212" s="347"/>
      <c r="G212" s="347"/>
      <c r="H212" s="347"/>
    </row>
    <row r="213" spans="1:8" s="94" customFormat="1">
      <c r="A213" s="398"/>
      <c r="E213" s="347"/>
      <c r="F213" s="347"/>
      <c r="G213" s="347"/>
      <c r="H213" s="347"/>
    </row>
    <row r="214" spans="1:8" s="94" customFormat="1">
      <c r="A214" s="398"/>
      <c r="E214" s="347"/>
      <c r="F214" s="347"/>
      <c r="G214" s="347"/>
      <c r="H214" s="347"/>
    </row>
    <row r="215" spans="1:8" s="94" customFormat="1">
      <c r="A215" s="398"/>
      <c r="E215" s="347"/>
      <c r="F215" s="347"/>
      <c r="G215" s="347"/>
      <c r="H215" s="347"/>
    </row>
    <row r="216" spans="1:8" s="94" customFormat="1">
      <c r="A216" s="398"/>
      <c r="E216" s="347"/>
      <c r="F216" s="347"/>
      <c r="G216" s="347"/>
      <c r="H216" s="347"/>
    </row>
    <row r="217" spans="1:8" s="94" customFormat="1">
      <c r="A217" s="398"/>
      <c r="E217" s="347"/>
      <c r="F217" s="347"/>
      <c r="G217" s="347"/>
      <c r="H217" s="347"/>
    </row>
    <row r="218" spans="1:8" s="94" customFormat="1">
      <c r="A218" s="398"/>
      <c r="E218" s="347"/>
      <c r="F218" s="347"/>
      <c r="G218" s="347"/>
      <c r="H218" s="347"/>
    </row>
    <row r="219" spans="1:8" s="94" customFormat="1">
      <c r="A219" s="398"/>
      <c r="E219" s="347"/>
      <c r="F219" s="347"/>
      <c r="G219" s="347"/>
      <c r="H219" s="347"/>
    </row>
    <row r="220" spans="1:8" s="94" customFormat="1">
      <c r="A220" s="398"/>
      <c r="E220" s="347"/>
      <c r="F220" s="347"/>
      <c r="G220" s="347"/>
      <c r="H220" s="347"/>
    </row>
    <row r="221" spans="1:8" s="94" customFormat="1">
      <c r="A221" s="398"/>
      <c r="E221" s="347"/>
      <c r="F221" s="347"/>
      <c r="G221" s="347"/>
      <c r="H221" s="347"/>
    </row>
    <row r="222" spans="1:8" s="94" customFormat="1">
      <c r="A222" s="398"/>
      <c r="E222" s="347"/>
      <c r="F222" s="347"/>
      <c r="G222" s="347"/>
      <c r="H222" s="347"/>
    </row>
    <row r="223" spans="1:8" s="94" customFormat="1">
      <c r="A223" s="398"/>
      <c r="E223" s="347"/>
      <c r="F223" s="347"/>
      <c r="G223" s="347"/>
      <c r="H223" s="347"/>
    </row>
    <row r="224" spans="1:8" s="94" customFormat="1">
      <c r="A224" s="398"/>
      <c r="E224" s="347"/>
      <c r="F224" s="347"/>
      <c r="G224" s="347"/>
      <c r="H224" s="347"/>
    </row>
    <row r="225" spans="1:8" s="94" customFormat="1">
      <c r="A225" s="398"/>
      <c r="E225" s="347"/>
      <c r="F225" s="347"/>
      <c r="G225" s="347"/>
      <c r="H225" s="347"/>
    </row>
    <row r="226" spans="1:8" s="94" customFormat="1">
      <c r="A226" s="398"/>
      <c r="E226" s="347"/>
      <c r="F226" s="347"/>
      <c r="G226" s="347"/>
      <c r="H226" s="347"/>
    </row>
    <row r="227" spans="1:8" s="94" customFormat="1">
      <c r="A227" s="398"/>
      <c r="E227" s="347"/>
      <c r="F227" s="347"/>
      <c r="G227" s="347"/>
      <c r="H227" s="347"/>
    </row>
    <row r="228" spans="1:8" s="94" customFormat="1">
      <c r="A228" s="398"/>
      <c r="E228" s="347"/>
      <c r="F228" s="347"/>
      <c r="G228" s="347"/>
      <c r="H228" s="347"/>
    </row>
    <row r="229" spans="1:8" s="94" customFormat="1">
      <c r="A229" s="398"/>
      <c r="E229" s="347"/>
      <c r="F229" s="347"/>
      <c r="G229" s="347"/>
      <c r="H229" s="347"/>
    </row>
    <row r="230" spans="1:8" s="94" customFormat="1">
      <c r="A230" s="398"/>
      <c r="E230" s="347"/>
      <c r="F230" s="347"/>
      <c r="G230" s="347"/>
      <c r="H230" s="347"/>
    </row>
    <row r="231" spans="1:8" s="94" customFormat="1">
      <c r="A231" s="398"/>
      <c r="E231" s="347"/>
      <c r="F231" s="347"/>
      <c r="G231" s="347"/>
      <c r="H231" s="347"/>
    </row>
    <row r="232" spans="1:8" s="94" customFormat="1">
      <c r="A232" s="398"/>
      <c r="E232" s="347"/>
      <c r="F232" s="347"/>
      <c r="G232" s="347"/>
      <c r="H232" s="347"/>
    </row>
    <row r="233" spans="1:8" s="94" customFormat="1">
      <c r="A233" s="398"/>
      <c r="E233" s="347"/>
      <c r="F233" s="347"/>
      <c r="G233" s="347"/>
      <c r="H233" s="347"/>
    </row>
    <row r="234" spans="1:8" s="94" customFormat="1">
      <c r="A234" s="398"/>
      <c r="E234" s="347"/>
      <c r="F234" s="347"/>
      <c r="G234" s="347"/>
      <c r="H234" s="347"/>
    </row>
    <row r="235" spans="1:8" s="94" customFormat="1">
      <c r="A235" s="398"/>
      <c r="E235" s="347"/>
      <c r="F235" s="347"/>
      <c r="G235" s="347"/>
      <c r="H235" s="347"/>
    </row>
    <row r="236" spans="1:8" s="94" customFormat="1">
      <c r="A236" s="398"/>
      <c r="E236" s="347"/>
      <c r="F236" s="347"/>
      <c r="G236" s="347"/>
      <c r="H236" s="347"/>
    </row>
    <row r="237" spans="1:8" s="94" customFormat="1">
      <c r="A237" s="398"/>
      <c r="E237" s="347"/>
      <c r="F237" s="347"/>
      <c r="G237" s="347"/>
      <c r="H237" s="347"/>
    </row>
    <row r="238" spans="1:8" s="94" customFormat="1">
      <c r="A238" s="398"/>
      <c r="E238" s="347"/>
      <c r="F238" s="347"/>
      <c r="G238" s="347"/>
      <c r="H238" s="347"/>
    </row>
    <row r="239" spans="1:8" s="94" customFormat="1">
      <c r="A239" s="398"/>
      <c r="E239" s="347"/>
      <c r="F239" s="347"/>
      <c r="G239" s="347"/>
      <c r="H239" s="347"/>
    </row>
    <row r="240" spans="1:8" s="94" customFormat="1">
      <c r="A240" s="398"/>
      <c r="E240" s="347"/>
      <c r="F240" s="347"/>
      <c r="G240" s="347"/>
      <c r="H240" s="347"/>
    </row>
    <row r="241" spans="1:8" s="94" customFormat="1">
      <c r="A241" s="398"/>
      <c r="E241" s="347"/>
      <c r="F241" s="347"/>
      <c r="G241" s="347"/>
      <c r="H241" s="347"/>
    </row>
    <row r="242" spans="1:8" s="94" customFormat="1">
      <c r="A242" s="398"/>
      <c r="E242" s="347"/>
      <c r="F242" s="347"/>
      <c r="G242" s="347"/>
      <c r="H242" s="347"/>
    </row>
    <row r="243" spans="1:8" s="94" customFormat="1">
      <c r="A243" s="398"/>
      <c r="E243" s="347"/>
      <c r="F243" s="347"/>
      <c r="G243" s="347"/>
      <c r="H243" s="347"/>
    </row>
    <row r="244" spans="1:8" s="94" customFormat="1">
      <c r="A244" s="398"/>
      <c r="E244" s="347"/>
      <c r="F244" s="347"/>
      <c r="G244" s="347"/>
      <c r="H244" s="347"/>
    </row>
    <row r="245" spans="1:8" s="94" customFormat="1">
      <c r="A245" s="398"/>
      <c r="E245" s="347"/>
      <c r="F245" s="347"/>
      <c r="G245" s="347"/>
      <c r="H245" s="347"/>
    </row>
    <row r="246" spans="1:8" s="94" customFormat="1">
      <c r="A246" s="398"/>
      <c r="E246" s="347"/>
      <c r="F246" s="347"/>
      <c r="G246" s="347"/>
      <c r="H246" s="347"/>
    </row>
    <row r="247" spans="1:8" s="94" customFormat="1">
      <c r="A247" s="398"/>
      <c r="E247" s="347"/>
      <c r="F247" s="347"/>
      <c r="G247" s="347"/>
      <c r="H247" s="347"/>
    </row>
    <row r="248" spans="1:8" s="94" customFormat="1">
      <c r="A248" s="398"/>
      <c r="E248" s="347"/>
      <c r="F248" s="347"/>
      <c r="G248" s="347"/>
      <c r="H248" s="347"/>
    </row>
    <row r="249" spans="1:8" s="94" customFormat="1">
      <c r="A249" s="398"/>
      <c r="E249" s="347"/>
      <c r="F249" s="347"/>
      <c r="G249" s="347"/>
      <c r="H249" s="347"/>
    </row>
    <row r="250" spans="1:8" s="94" customFormat="1">
      <c r="A250" s="398"/>
      <c r="E250" s="347"/>
      <c r="F250" s="347"/>
      <c r="G250" s="347"/>
      <c r="H250" s="347"/>
    </row>
    <row r="251" spans="1:8" s="94" customFormat="1">
      <c r="A251" s="398"/>
      <c r="E251" s="347"/>
      <c r="F251" s="347"/>
      <c r="G251" s="347"/>
      <c r="H251" s="347"/>
    </row>
    <row r="252" spans="1:8" s="94" customFormat="1">
      <c r="A252" s="398"/>
      <c r="E252" s="347"/>
      <c r="F252" s="347"/>
      <c r="G252" s="347"/>
      <c r="H252" s="347"/>
    </row>
    <row r="253" spans="1:8" s="94" customFormat="1">
      <c r="A253" s="398"/>
      <c r="E253" s="347"/>
      <c r="F253" s="347"/>
      <c r="G253" s="347"/>
      <c r="H253" s="347"/>
    </row>
    <row r="254" spans="1:8" s="94" customFormat="1">
      <c r="A254" s="398"/>
      <c r="E254" s="347"/>
      <c r="F254" s="347"/>
      <c r="G254" s="347"/>
      <c r="H254" s="347"/>
    </row>
    <row r="255" spans="1:8" s="94" customFormat="1">
      <c r="A255" s="398"/>
      <c r="E255" s="347"/>
      <c r="F255" s="347"/>
      <c r="G255" s="347"/>
      <c r="H255" s="347"/>
    </row>
    <row r="256" spans="1:8" s="94" customFormat="1">
      <c r="A256" s="398"/>
      <c r="E256" s="347"/>
      <c r="F256" s="347"/>
      <c r="G256" s="347"/>
      <c r="H256" s="347"/>
    </row>
    <row r="257" spans="1:8" s="94" customFormat="1">
      <c r="A257" s="398"/>
      <c r="E257" s="347"/>
      <c r="F257" s="347"/>
      <c r="G257" s="347"/>
      <c r="H257" s="347"/>
    </row>
    <row r="258" spans="1:8" s="94" customFormat="1">
      <c r="A258" s="398"/>
      <c r="E258" s="347"/>
      <c r="F258" s="347"/>
      <c r="G258" s="347"/>
      <c r="H258" s="347"/>
    </row>
    <row r="259" spans="1:8" s="94" customFormat="1">
      <c r="A259" s="398"/>
      <c r="E259" s="347"/>
      <c r="F259" s="347"/>
      <c r="G259" s="347"/>
      <c r="H259" s="347"/>
    </row>
    <row r="260" spans="1:8" s="94" customFormat="1">
      <c r="A260" s="398"/>
      <c r="E260" s="347"/>
      <c r="F260" s="347"/>
      <c r="G260" s="347"/>
      <c r="H260" s="347"/>
    </row>
    <row r="261" spans="1:8" s="94" customFormat="1">
      <c r="A261" s="398"/>
      <c r="E261" s="347"/>
      <c r="F261" s="347"/>
      <c r="G261" s="347"/>
      <c r="H261" s="347"/>
    </row>
    <row r="262" spans="1:8" s="94" customFormat="1">
      <c r="A262" s="398"/>
      <c r="E262" s="347"/>
      <c r="F262" s="347"/>
      <c r="G262" s="347"/>
      <c r="H262" s="347"/>
    </row>
    <row r="263" spans="1:8" s="94" customFormat="1">
      <c r="A263" s="398"/>
      <c r="E263" s="347"/>
      <c r="F263" s="347"/>
      <c r="G263" s="347"/>
      <c r="H263" s="347"/>
    </row>
    <row r="264" spans="1:8" s="94" customFormat="1">
      <c r="A264" s="398"/>
      <c r="E264" s="347"/>
      <c r="F264" s="347"/>
      <c r="G264" s="347"/>
      <c r="H264" s="347"/>
    </row>
    <row r="265" spans="1:8" s="94" customFormat="1">
      <c r="A265" s="398"/>
      <c r="E265" s="347"/>
      <c r="F265" s="347"/>
      <c r="G265" s="347"/>
      <c r="H265" s="347"/>
    </row>
    <row r="266" spans="1:8" s="94" customFormat="1">
      <c r="A266" s="398"/>
      <c r="E266" s="347"/>
      <c r="F266" s="347"/>
      <c r="G266" s="347"/>
      <c r="H266" s="347"/>
    </row>
    <row r="267" spans="1:8" s="94" customFormat="1">
      <c r="A267" s="398"/>
      <c r="E267" s="347"/>
      <c r="F267" s="347"/>
      <c r="G267" s="347"/>
      <c r="H267" s="347"/>
    </row>
    <row r="268" spans="1:8" s="94" customFormat="1">
      <c r="A268" s="398"/>
      <c r="E268" s="347"/>
      <c r="F268" s="347"/>
      <c r="G268" s="347"/>
      <c r="H268" s="347"/>
    </row>
    <row r="269" spans="1:8" s="94" customFormat="1">
      <c r="A269" s="398"/>
      <c r="E269" s="347"/>
      <c r="F269" s="347"/>
      <c r="G269" s="347"/>
      <c r="H269" s="347"/>
    </row>
    <row r="270" spans="1:8" s="94" customFormat="1">
      <c r="A270" s="398"/>
      <c r="E270" s="347"/>
      <c r="F270" s="347"/>
      <c r="G270" s="347"/>
      <c r="H270" s="347"/>
    </row>
    <row r="271" spans="1:8" s="94" customFormat="1">
      <c r="A271" s="398"/>
      <c r="E271" s="347"/>
      <c r="F271" s="347"/>
      <c r="G271" s="347"/>
      <c r="H271" s="347"/>
    </row>
    <row r="272" spans="1:8" s="94" customFormat="1">
      <c r="A272" s="398"/>
      <c r="E272" s="347"/>
      <c r="F272" s="347"/>
      <c r="G272" s="347"/>
      <c r="H272" s="347"/>
    </row>
    <row r="273" spans="1:8" s="94" customFormat="1">
      <c r="A273" s="398"/>
      <c r="E273" s="347"/>
      <c r="F273" s="347"/>
      <c r="G273" s="347"/>
      <c r="H273" s="347"/>
    </row>
    <row r="274" spans="1:8" s="94" customFormat="1">
      <c r="A274" s="398"/>
      <c r="E274" s="347"/>
      <c r="F274" s="347"/>
      <c r="G274" s="347"/>
      <c r="H274" s="347"/>
    </row>
    <row r="275" spans="1:8" s="94" customFormat="1">
      <c r="A275" s="398"/>
      <c r="E275" s="347"/>
      <c r="F275" s="347"/>
      <c r="G275" s="347"/>
      <c r="H275" s="347"/>
    </row>
    <row r="276" spans="1:8" s="94" customFormat="1">
      <c r="A276" s="398"/>
      <c r="E276" s="347"/>
      <c r="F276" s="347"/>
      <c r="G276" s="347"/>
      <c r="H276" s="347"/>
    </row>
    <row r="277" spans="1:8" s="94" customFormat="1">
      <c r="A277" s="398"/>
      <c r="E277" s="347"/>
      <c r="F277" s="347"/>
      <c r="G277" s="347"/>
      <c r="H277" s="347"/>
    </row>
    <row r="278" spans="1:8" s="94" customFormat="1">
      <c r="A278" s="398"/>
      <c r="E278" s="347"/>
      <c r="F278" s="347"/>
      <c r="G278" s="347"/>
      <c r="H278" s="347"/>
    </row>
    <row r="279" spans="1:8" s="94" customFormat="1">
      <c r="A279" s="398"/>
      <c r="E279" s="347"/>
      <c r="F279" s="347"/>
      <c r="G279" s="347"/>
      <c r="H279" s="347"/>
    </row>
    <row r="280" spans="1:8" s="94" customFormat="1">
      <c r="A280" s="398"/>
      <c r="E280" s="347"/>
      <c r="F280" s="347"/>
      <c r="G280" s="347"/>
      <c r="H280" s="347"/>
    </row>
    <row r="281" spans="1:8" s="94" customFormat="1">
      <c r="A281" s="398"/>
      <c r="E281" s="347"/>
      <c r="F281" s="347"/>
      <c r="G281" s="347"/>
      <c r="H281" s="347"/>
    </row>
    <row r="282" spans="1:8" s="94" customFormat="1">
      <c r="A282" s="398"/>
      <c r="E282" s="347"/>
      <c r="F282" s="347"/>
      <c r="G282" s="347"/>
      <c r="H282" s="347"/>
    </row>
    <row r="283" spans="1:8" s="94" customFormat="1">
      <c r="A283" s="398"/>
      <c r="E283" s="347"/>
      <c r="F283" s="347"/>
      <c r="G283" s="347"/>
      <c r="H283" s="347"/>
    </row>
    <row r="284" spans="1:8" s="94" customFormat="1">
      <c r="A284" s="398"/>
      <c r="E284" s="347"/>
      <c r="F284" s="347"/>
      <c r="G284" s="347"/>
      <c r="H284" s="347"/>
    </row>
    <row r="285" spans="1:8" s="94" customFormat="1">
      <c r="A285" s="398"/>
      <c r="E285" s="347"/>
      <c r="F285" s="347"/>
      <c r="G285" s="347"/>
      <c r="H285" s="347"/>
    </row>
    <row r="286" spans="1:8" s="94" customFormat="1">
      <c r="A286" s="398"/>
      <c r="E286" s="347"/>
      <c r="F286" s="347"/>
      <c r="G286" s="347"/>
      <c r="H286" s="347"/>
    </row>
    <row r="287" spans="1:8" s="94" customFormat="1">
      <c r="A287" s="398"/>
      <c r="E287" s="347"/>
      <c r="F287" s="347"/>
      <c r="G287" s="347"/>
      <c r="H287" s="347"/>
    </row>
    <row r="288" spans="1:8" s="94" customFormat="1">
      <c r="A288" s="398"/>
      <c r="E288" s="347"/>
      <c r="F288" s="347"/>
      <c r="G288" s="347"/>
      <c r="H288" s="347"/>
    </row>
    <row r="289" spans="1:8" s="94" customFormat="1">
      <c r="A289" s="398"/>
      <c r="E289" s="347"/>
      <c r="F289" s="347"/>
      <c r="G289" s="347"/>
      <c r="H289" s="347"/>
    </row>
    <row r="290" spans="1:8" s="94" customFormat="1">
      <c r="A290" s="398"/>
      <c r="E290" s="347"/>
      <c r="F290" s="347"/>
      <c r="G290" s="347"/>
      <c r="H290" s="347"/>
    </row>
    <row r="291" spans="1:8" s="94" customFormat="1">
      <c r="A291" s="398"/>
      <c r="E291" s="347"/>
      <c r="F291" s="347"/>
      <c r="G291" s="347"/>
      <c r="H291" s="347"/>
    </row>
    <row r="292" spans="1:8" s="94" customFormat="1">
      <c r="A292" s="398"/>
      <c r="E292" s="347"/>
      <c r="F292" s="347"/>
      <c r="G292" s="347"/>
      <c r="H292" s="347"/>
    </row>
    <row r="293" spans="1:8" s="94" customFormat="1">
      <c r="A293" s="398"/>
      <c r="E293" s="347"/>
      <c r="F293" s="347"/>
      <c r="G293" s="347"/>
      <c r="H293" s="347"/>
    </row>
    <row r="294" spans="1:8" s="94" customFormat="1">
      <c r="A294" s="398"/>
      <c r="E294" s="347"/>
      <c r="F294" s="347"/>
      <c r="G294" s="347"/>
      <c r="H294" s="347"/>
    </row>
    <row r="295" spans="1:8" s="94" customFormat="1">
      <c r="A295" s="398"/>
      <c r="E295" s="347"/>
      <c r="F295" s="347"/>
      <c r="G295" s="347"/>
      <c r="H295" s="347"/>
    </row>
    <row r="296" spans="1:8" s="94" customFormat="1">
      <c r="A296" s="398"/>
      <c r="E296" s="347"/>
      <c r="F296" s="347"/>
      <c r="G296" s="347"/>
      <c r="H296" s="347"/>
    </row>
    <row r="297" spans="1:8" s="94" customFormat="1">
      <c r="A297" s="398"/>
      <c r="E297" s="347"/>
      <c r="F297" s="347"/>
      <c r="G297" s="347"/>
      <c r="H297" s="347"/>
    </row>
    <row r="298" spans="1:8" s="94" customFormat="1">
      <c r="A298" s="398"/>
      <c r="E298" s="347"/>
      <c r="F298" s="347"/>
      <c r="G298" s="347"/>
      <c r="H298" s="347"/>
    </row>
    <row r="299" spans="1:8" s="94" customFormat="1">
      <c r="A299" s="398"/>
      <c r="E299" s="347"/>
      <c r="F299" s="347"/>
      <c r="G299" s="347"/>
      <c r="H299" s="347"/>
    </row>
    <row r="300" spans="1:8" s="94" customFormat="1">
      <c r="A300" s="398"/>
      <c r="E300" s="347"/>
      <c r="F300" s="347"/>
      <c r="G300" s="347"/>
      <c r="H300" s="347"/>
    </row>
  </sheetData>
  <mergeCells count="18">
    <mergeCell ref="C149:D149"/>
    <mergeCell ref="G149:H149"/>
    <mergeCell ref="C148:D148"/>
    <mergeCell ref="A127:H127"/>
    <mergeCell ref="A51:H51"/>
    <mergeCell ref="A118:H118"/>
    <mergeCell ref="C128:D128"/>
    <mergeCell ref="E128:H128"/>
    <mergeCell ref="A69:H69"/>
    <mergeCell ref="G148:H148"/>
    <mergeCell ref="A44:H44"/>
    <mergeCell ref="A2:H2"/>
    <mergeCell ref="A1:H1"/>
    <mergeCell ref="A4:A5"/>
    <mergeCell ref="B4:B5"/>
    <mergeCell ref="A7:H7"/>
    <mergeCell ref="E4:H4"/>
    <mergeCell ref="C4:D4"/>
  </mergeCells>
  <phoneticPr fontId="4" type="noConversion"/>
  <pageMargins left="0.39370078740157483" right="0.39370078740157483" top="0.78740157480314965" bottom="0.39370078740157483" header="0.39370078740157483" footer="0.19685039370078741"/>
  <pageSetup paperSize="9" scale="72" fitToHeight="10" orientation="landscape" verticalDpi="300" r:id="rId1"/>
  <headerFooter alignWithMargins="0"/>
  <rowBreaks count="2" manualBreakCount="2">
    <brk id="22" max="7" man="1"/>
    <brk id="45" max="7" man="1"/>
  </rowBreaks>
  <ignoredErrors>
    <ignoredError sqref="B130:B1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O352"/>
  <sheetViews>
    <sheetView view="pageBreakPreview" topLeftCell="A10" zoomScale="80" zoomScaleSheetLayoutView="80" workbookViewId="0">
      <selection activeCell="O16" sqref="O16"/>
    </sheetView>
  </sheetViews>
  <sheetFormatPr defaultColWidth="9.140625" defaultRowHeight="18.75"/>
  <cols>
    <col min="1" max="1" width="9.140625" style="7"/>
    <col min="2" max="2" width="51.5703125" style="7" customWidth="1"/>
    <col min="3" max="3" width="12" style="155" customWidth="1"/>
    <col min="4" max="4" width="16.140625" style="155" customWidth="1"/>
    <col min="5" max="5" width="16.7109375" style="155" customWidth="1"/>
    <col min="6" max="6" width="16.140625" style="155" customWidth="1"/>
    <col min="7" max="7" width="16.140625" style="7" customWidth="1"/>
    <col min="8" max="8" width="18.140625" style="7" customWidth="1"/>
    <col min="9" max="9" width="12.85546875" style="7" bestFit="1" customWidth="1"/>
    <col min="10" max="10" width="22.28515625" style="7" customWidth="1"/>
    <col min="11" max="11" width="15.140625" style="7" bestFit="1" customWidth="1"/>
    <col min="12" max="12" width="18.85546875" style="7" bestFit="1" customWidth="1"/>
    <col min="13" max="13" width="14.28515625" style="7" bestFit="1" customWidth="1"/>
    <col min="14" max="14" width="10.28515625" style="7" bestFit="1" customWidth="1"/>
    <col min="15" max="15" width="13.7109375" style="7" bestFit="1" customWidth="1"/>
    <col min="16" max="16" width="13.42578125" style="7" bestFit="1" customWidth="1"/>
    <col min="17" max="16384" width="9.140625" style="7"/>
  </cols>
  <sheetData>
    <row r="2" spans="1:11" ht="20.25">
      <c r="B2" s="201" t="s">
        <v>101</v>
      </c>
      <c r="C2" s="201"/>
      <c r="D2" s="201"/>
      <c r="E2" s="201"/>
      <c r="F2" s="201"/>
    </row>
    <row r="3" spans="1:11">
      <c r="B3" s="30"/>
      <c r="C3" s="31"/>
      <c r="D3" s="30"/>
      <c r="E3" s="30"/>
      <c r="F3" s="30"/>
      <c r="H3" s="7" t="s">
        <v>64</v>
      </c>
    </row>
    <row r="4" spans="1:11" ht="52.5" customHeight="1">
      <c r="A4" s="32" t="s">
        <v>75</v>
      </c>
      <c r="B4" s="32" t="s">
        <v>23</v>
      </c>
      <c r="C4" s="19" t="s">
        <v>5</v>
      </c>
      <c r="D4" s="19" t="s">
        <v>470</v>
      </c>
      <c r="E4" s="19" t="s">
        <v>445</v>
      </c>
      <c r="F4" s="19" t="s">
        <v>471</v>
      </c>
      <c r="G4" s="19" t="s">
        <v>110</v>
      </c>
      <c r="H4" s="19" t="s">
        <v>112</v>
      </c>
    </row>
    <row r="5" spans="1:11" ht="25.5" customHeight="1">
      <c r="A5" s="41">
        <v>1</v>
      </c>
      <c r="B5" s="41">
        <v>2</v>
      </c>
      <c r="C5" s="42">
        <v>3</v>
      </c>
      <c r="D5" s="19">
        <v>4</v>
      </c>
      <c r="E5" s="19">
        <v>5</v>
      </c>
      <c r="F5" s="19">
        <v>6</v>
      </c>
      <c r="G5" s="41">
        <v>7</v>
      </c>
      <c r="H5" s="41">
        <v>8</v>
      </c>
    </row>
    <row r="6" spans="1:11" ht="30.75" customHeight="1">
      <c r="A6" s="203" t="s">
        <v>74</v>
      </c>
      <c r="B6" s="203"/>
      <c r="C6" s="19"/>
      <c r="D6" s="33">
        <f>D7+D12+D22+D24</f>
        <v>95001.400000000009</v>
      </c>
      <c r="E6" s="33">
        <f>E7+E12+E22+E24</f>
        <v>91201.8</v>
      </c>
      <c r="F6" s="33">
        <f>F7+F12+F22+F24</f>
        <v>108107.20000000001</v>
      </c>
      <c r="G6" s="158">
        <f t="shared" ref="G6" si="0">F6-E6</f>
        <v>16905.400000000009</v>
      </c>
      <c r="H6" s="151">
        <f t="shared" ref="H6" si="1">(F6/E6)*100</f>
        <v>118.53625695984071</v>
      </c>
    </row>
    <row r="7" spans="1:11" ht="62.25" customHeight="1">
      <c r="A7" s="198" t="s">
        <v>73</v>
      </c>
      <c r="B7" s="198"/>
      <c r="C7" s="159">
        <v>1000</v>
      </c>
      <c r="D7" s="4">
        <f>SUM(D8:D11)</f>
        <v>74178.7</v>
      </c>
      <c r="E7" s="4">
        <f>SUM(E8:E11)</f>
        <v>78786.7</v>
      </c>
      <c r="F7" s="4">
        <f>SUM(F8:F11)</f>
        <v>86185.3</v>
      </c>
      <c r="G7" s="24">
        <f t="shared" ref="G7:G12" si="2">F7-E7</f>
        <v>7398.6000000000058</v>
      </c>
      <c r="H7" s="24">
        <f t="shared" ref="H7:H12" si="3">(F7/E7)*100</f>
        <v>109.39067126812014</v>
      </c>
      <c r="K7" s="36"/>
    </row>
    <row r="8" spans="1:11" ht="45" customHeight="1">
      <c r="A8" s="16">
        <v>1</v>
      </c>
      <c r="B8" s="13" t="s">
        <v>202</v>
      </c>
      <c r="C8" s="159"/>
      <c r="D8" s="5">
        <v>72195.5</v>
      </c>
      <c r="E8" s="5">
        <v>74331.199999999997</v>
      </c>
      <c r="F8" s="5">
        <v>85038.5</v>
      </c>
      <c r="G8" s="25">
        <f t="shared" si="2"/>
        <v>10707.300000000003</v>
      </c>
      <c r="H8" s="25">
        <f t="shared" si="3"/>
        <v>114.40485287470135</v>
      </c>
    </row>
    <row r="9" spans="1:11" ht="57" customHeight="1">
      <c r="A9" s="16">
        <v>2</v>
      </c>
      <c r="B9" s="13" t="s">
        <v>259</v>
      </c>
      <c r="C9" s="159"/>
      <c r="D9" s="5">
        <v>1159.2</v>
      </c>
      <c r="E9" s="5">
        <v>3347.5</v>
      </c>
      <c r="F9" s="5">
        <v>742</v>
      </c>
      <c r="G9" s="25">
        <f t="shared" si="2"/>
        <v>-2605.5</v>
      </c>
      <c r="H9" s="25">
        <f t="shared" si="3"/>
        <v>22.165795369678865</v>
      </c>
    </row>
    <row r="10" spans="1:11" ht="27.75" customHeight="1">
      <c r="A10" s="16">
        <v>3</v>
      </c>
      <c r="B10" s="13" t="s">
        <v>203</v>
      </c>
      <c r="C10" s="159"/>
      <c r="D10" s="5">
        <v>398.1</v>
      </c>
      <c r="E10" s="5">
        <v>600</v>
      </c>
      <c r="F10" s="5">
        <v>50.1</v>
      </c>
      <c r="G10" s="25">
        <f t="shared" si="2"/>
        <v>-549.9</v>
      </c>
      <c r="H10" s="25">
        <f t="shared" si="3"/>
        <v>8.35</v>
      </c>
    </row>
    <row r="11" spans="1:11" ht="67.5" customHeight="1">
      <c r="A11" s="16">
        <v>4</v>
      </c>
      <c r="B11" s="13" t="s">
        <v>437</v>
      </c>
      <c r="C11" s="19"/>
      <c r="D11" s="5">
        <v>425.9</v>
      </c>
      <c r="E11" s="5">
        <v>508</v>
      </c>
      <c r="F11" s="5">
        <v>354.7</v>
      </c>
      <c r="G11" s="25">
        <f t="shared" si="2"/>
        <v>-153.30000000000001</v>
      </c>
      <c r="H11" s="25">
        <f t="shared" si="3"/>
        <v>69.822834645669289</v>
      </c>
    </row>
    <row r="12" spans="1:11" ht="30.75" customHeight="1">
      <c r="A12" s="205" t="s">
        <v>35</v>
      </c>
      <c r="B12" s="205"/>
      <c r="C12" s="159">
        <v>1040</v>
      </c>
      <c r="D12" s="4">
        <f>SUM(D13:D21)</f>
        <v>18811.100000000002</v>
      </c>
      <c r="E12" s="4">
        <f t="shared" ref="E12" si="4">SUM(E13:E21)</f>
        <v>12390.5</v>
      </c>
      <c r="F12" s="4">
        <f>SUM(F13:F21)</f>
        <v>18354.299999999996</v>
      </c>
      <c r="G12" s="24">
        <f t="shared" si="2"/>
        <v>5963.7999999999956</v>
      </c>
      <c r="H12" s="24">
        <f t="shared" si="3"/>
        <v>148.13203664097489</v>
      </c>
      <c r="I12" s="7">
        <v>18354.3</v>
      </c>
      <c r="J12" s="147"/>
    </row>
    <row r="13" spans="1:11" ht="44.25" customHeight="1">
      <c r="A13" s="32">
        <v>1</v>
      </c>
      <c r="B13" s="22" t="s">
        <v>653</v>
      </c>
      <c r="C13" s="159"/>
      <c r="D13" s="5">
        <v>199.2</v>
      </c>
      <c r="E13" s="4"/>
      <c r="F13" s="4"/>
      <c r="G13" s="24">
        <f t="shared" ref="G13:G76" si="5">F13-E13</f>
        <v>0</v>
      </c>
      <c r="H13" s="43" t="e">
        <f t="shared" ref="H13:H76" si="6">(F13/E13)*100</f>
        <v>#DIV/0!</v>
      </c>
      <c r="J13" s="147"/>
    </row>
    <row r="14" spans="1:11" ht="61.5" customHeight="1">
      <c r="A14" s="14">
        <v>2</v>
      </c>
      <c r="B14" s="13" t="s">
        <v>204</v>
      </c>
      <c r="C14" s="159"/>
      <c r="D14" s="5">
        <v>334.7</v>
      </c>
      <c r="E14" s="5">
        <v>109.8</v>
      </c>
      <c r="F14" s="5"/>
      <c r="G14" s="25">
        <f t="shared" si="5"/>
        <v>-109.8</v>
      </c>
      <c r="H14" s="25">
        <f t="shared" si="6"/>
        <v>0</v>
      </c>
      <c r="J14" s="36"/>
      <c r="K14" s="36"/>
    </row>
    <row r="15" spans="1:11" ht="43.5" customHeight="1">
      <c r="A15" s="16">
        <v>3</v>
      </c>
      <c r="B15" s="13" t="s">
        <v>241</v>
      </c>
      <c r="C15" s="159"/>
      <c r="D15" s="5">
        <v>14915.9</v>
      </c>
      <c r="E15" s="5">
        <v>12079.2</v>
      </c>
      <c r="F15" s="5">
        <f>14529.3-200.2</f>
        <v>14329.099999999999</v>
      </c>
      <c r="G15" s="25">
        <f t="shared" si="5"/>
        <v>2249.8999999999978</v>
      </c>
      <c r="H15" s="25">
        <f t="shared" si="6"/>
        <v>118.626233525399</v>
      </c>
      <c r="I15" s="36"/>
      <c r="J15" s="7">
        <v>14329.1</v>
      </c>
      <c r="K15" s="36"/>
    </row>
    <row r="16" spans="1:11" ht="80.25" customHeight="1">
      <c r="A16" s="16">
        <v>4</v>
      </c>
      <c r="B16" s="13" t="s">
        <v>439</v>
      </c>
      <c r="C16" s="159"/>
      <c r="D16" s="5"/>
      <c r="E16" s="5"/>
      <c r="F16" s="5">
        <v>143</v>
      </c>
      <c r="G16" s="25">
        <f t="shared" si="5"/>
        <v>143</v>
      </c>
      <c r="H16" s="44" t="e">
        <f t="shared" si="6"/>
        <v>#DIV/0!</v>
      </c>
    </row>
    <row r="17" spans="1:15" ht="57" customHeight="1">
      <c r="A17" s="16">
        <v>5</v>
      </c>
      <c r="B17" s="13" t="s">
        <v>205</v>
      </c>
      <c r="C17" s="159"/>
      <c r="D17" s="5">
        <v>26.2</v>
      </c>
      <c r="E17" s="5">
        <v>26</v>
      </c>
      <c r="F17" s="5">
        <v>26</v>
      </c>
      <c r="G17" s="25">
        <f t="shared" si="5"/>
        <v>0</v>
      </c>
      <c r="H17" s="25">
        <f t="shared" si="6"/>
        <v>100</v>
      </c>
      <c r="I17" s="7" t="s">
        <v>236</v>
      </c>
      <c r="J17" s="36"/>
      <c r="K17" s="36"/>
    </row>
    <row r="18" spans="1:15" ht="30.75" customHeight="1">
      <c r="A18" s="16">
        <v>6</v>
      </c>
      <c r="B18" s="13" t="s">
        <v>206</v>
      </c>
      <c r="C18" s="159"/>
      <c r="D18" s="5">
        <v>38.200000000000003</v>
      </c>
      <c r="E18" s="5">
        <v>175.5</v>
      </c>
      <c r="F18" s="5">
        <f>74.3+3.6+4.2</f>
        <v>82.1</v>
      </c>
      <c r="G18" s="25">
        <f t="shared" si="5"/>
        <v>-93.4</v>
      </c>
      <c r="H18" s="25">
        <f t="shared" si="6"/>
        <v>46.780626780626775</v>
      </c>
      <c r="L18" s="36"/>
    </row>
    <row r="19" spans="1:15" ht="41.25" customHeight="1">
      <c r="A19" s="16">
        <v>7</v>
      </c>
      <c r="B19" s="13" t="s">
        <v>207</v>
      </c>
      <c r="C19" s="159"/>
      <c r="D19" s="5">
        <v>300.3</v>
      </c>
      <c r="E19" s="5"/>
      <c r="F19" s="5">
        <v>555.79999999999995</v>
      </c>
      <c r="G19" s="25">
        <f t="shared" si="5"/>
        <v>555.79999999999995</v>
      </c>
      <c r="H19" s="44" t="e">
        <f t="shared" si="6"/>
        <v>#DIV/0!</v>
      </c>
      <c r="J19" s="36"/>
    </row>
    <row r="20" spans="1:15" ht="27.75" customHeight="1">
      <c r="A20" s="16">
        <v>8</v>
      </c>
      <c r="B20" s="13" t="s">
        <v>208</v>
      </c>
      <c r="C20" s="159"/>
      <c r="D20" s="5">
        <f>2988.4</f>
        <v>2988.4</v>
      </c>
      <c r="E20" s="5"/>
      <c r="F20" s="5">
        <f>2973.5+200.2</f>
        <v>3173.7</v>
      </c>
      <c r="G20" s="25">
        <f t="shared" si="5"/>
        <v>3173.7</v>
      </c>
      <c r="H20" s="44" t="e">
        <f t="shared" si="6"/>
        <v>#DIV/0!</v>
      </c>
      <c r="J20" s="9"/>
      <c r="N20" s="36"/>
    </row>
    <row r="21" spans="1:15" ht="27" customHeight="1">
      <c r="A21" s="16"/>
      <c r="B21" s="13" t="s">
        <v>512</v>
      </c>
      <c r="C21" s="159"/>
      <c r="D21" s="5">
        <v>8.1999999999999993</v>
      </c>
      <c r="E21" s="5"/>
      <c r="F21" s="5">
        <f>44.6</f>
        <v>44.6</v>
      </c>
      <c r="G21" s="25">
        <f t="shared" si="5"/>
        <v>44.6</v>
      </c>
      <c r="H21" s="44" t="e">
        <f t="shared" si="6"/>
        <v>#DIV/0!</v>
      </c>
      <c r="N21" s="36"/>
    </row>
    <row r="22" spans="1:15" ht="30.75" customHeight="1">
      <c r="A22" s="205" t="s">
        <v>76</v>
      </c>
      <c r="B22" s="205"/>
      <c r="C22" s="159">
        <v>1130</v>
      </c>
      <c r="D22" s="4">
        <f>D23</f>
        <v>30.1</v>
      </c>
      <c r="E22" s="4">
        <f>E23</f>
        <v>24.6</v>
      </c>
      <c r="F22" s="4">
        <f>F23</f>
        <v>49</v>
      </c>
      <c r="G22" s="24">
        <f t="shared" si="5"/>
        <v>24.4</v>
      </c>
      <c r="H22" s="24">
        <f t="shared" si="6"/>
        <v>199.18699186991867</v>
      </c>
      <c r="J22" s="119"/>
    </row>
    <row r="23" spans="1:15" ht="45" customHeight="1">
      <c r="A23" s="16">
        <v>1</v>
      </c>
      <c r="B23" s="17" t="s">
        <v>209</v>
      </c>
      <c r="C23" s="19"/>
      <c r="D23" s="5">
        <v>30.1</v>
      </c>
      <c r="E23" s="5">
        <v>24.6</v>
      </c>
      <c r="F23" s="5">
        <v>49</v>
      </c>
      <c r="G23" s="25">
        <f t="shared" si="5"/>
        <v>24.4</v>
      </c>
      <c r="H23" s="25">
        <f t="shared" si="6"/>
        <v>199.18699186991867</v>
      </c>
      <c r="J23" s="119"/>
    </row>
    <row r="24" spans="1:15" ht="30.75" customHeight="1">
      <c r="A24" s="205" t="s">
        <v>27</v>
      </c>
      <c r="B24" s="205"/>
      <c r="C24" s="159">
        <v>1150</v>
      </c>
      <c r="D24" s="4">
        <f>SUM(D25:D27)</f>
        <v>1981.5</v>
      </c>
      <c r="E24" s="4">
        <f>SUM(E25:E27)</f>
        <v>0</v>
      </c>
      <c r="F24" s="4">
        <f>SUM(F25:F27)</f>
        <v>3518.6</v>
      </c>
      <c r="G24" s="24">
        <f t="shared" si="5"/>
        <v>3518.6</v>
      </c>
      <c r="H24" s="43" t="e">
        <f t="shared" si="6"/>
        <v>#DIV/0!</v>
      </c>
      <c r="K24" s="155"/>
    </row>
    <row r="25" spans="1:15" ht="43.5" customHeight="1">
      <c r="A25" s="32">
        <v>1</v>
      </c>
      <c r="B25" s="13" t="s">
        <v>260</v>
      </c>
      <c r="C25" s="159"/>
      <c r="D25" s="5">
        <v>26.4</v>
      </c>
      <c r="E25" s="4"/>
      <c r="F25" s="5">
        <v>4.9000000000000004</v>
      </c>
      <c r="G25" s="25">
        <f t="shared" si="5"/>
        <v>4.9000000000000004</v>
      </c>
      <c r="H25" s="43" t="e">
        <f t="shared" si="6"/>
        <v>#DIV/0!</v>
      </c>
      <c r="I25" s="7" t="s">
        <v>691</v>
      </c>
      <c r="K25" s="118"/>
    </row>
    <row r="26" spans="1:15" ht="62.25" customHeight="1">
      <c r="A26" s="32">
        <v>2</v>
      </c>
      <c r="B26" s="13" t="s">
        <v>326</v>
      </c>
      <c r="C26" s="159"/>
      <c r="D26" s="5">
        <v>79.2</v>
      </c>
      <c r="E26" s="4"/>
      <c r="F26" s="5">
        <v>11.6</v>
      </c>
      <c r="G26" s="25">
        <f t="shared" si="5"/>
        <v>11.6</v>
      </c>
      <c r="H26" s="43" t="e">
        <f t="shared" si="6"/>
        <v>#DIV/0!</v>
      </c>
      <c r="J26" s="119"/>
      <c r="K26" s="157"/>
    </row>
    <row r="27" spans="1:15" ht="43.5" customHeight="1">
      <c r="A27" s="32">
        <v>3</v>
      </c>
      <c r="B27" s="13" t="s">
        <v>233</v>
      </c>
      <c r="C27" s="159"/>
      <c r="D27" s="5">
        <v>1875.9</v>
      </c>
      <c r="E27" s="4"/>
      <c r="F27" s="193">
        <v>3502.1</v>
      </c>
      <c r="G27" s="25">
        <f t="shared" si="5"/>
        <v>3502.1</v>
      </c>
      <c r="H27" s="44" t="e">
        <f t="shared" si="6"/>
        <v>#DIV/0!</v>
      </c>
    </row>
    <row r="28" spans="1:15" ht="35.25" customHeight="1">
      <c r="A28" s="203" t="s">
        <v>77</v>
      </c>
      <c r="B28" s="203"/>
      <c r="C28" s="159"/>
      <c r="D28" s="4"/>
      <c r="E28" s="4"/>
      <c r="F28" s="4"/>
      <c r="G28" s="24"/>
      <c r="H28" s="43"/>
      <c r="J28" s="36"/>
    </row>
    <row r="29" spans="1:15" ht="48" customHeight="1">
      <c r="A29" s="198" t="s">
        <v>78</v>
      </c>
      <c r="B29" s="198"/>
      <c r="C29" s="19"/>
      <c r="D29" s="4"/>
      <c r="E29" s="4"/>
      <c r="F29" s="4"/>
      <c r="G29" s="24"/>
      <c r="H29" s="43"/>
    </row>
    <row r="30" spans="1:15" ht="34.5" customHeight="1">
      <c r="A30" s="204" t="s">
        <v>79</v>
      </c>
      <c r="B30" s="204"/>
      <c r="C30" s="159">
        <v>1011</v>
      </c>
      <c r="D30" s="4">
        <f>SUM(D31:D44)</f>
        <v>16330.2</v>
      </c>
      <c r="E30" s="4">
        <f>SUM(E31:E44)</f>
        <v>13093.499999999998</v>
      </c>
      <c r="F30" s="4">
        <f>SUM(F31:F44)</f>
        <v>15711.699999999999</v>
      </c>
      <c r="G30" s="24">
        <f t="shared" si="5"/>
        <v>2618.2000000000007</v>
      </c>
      <c r="H30" s="24">
        <f t="shared" si="6"/>
        <v>119.99618131133769</v>
      </c>
      <c r="I30" s="34">
        <v>15711.7</v>
      </c>
      <c r="J30" s="36"/>
      <c r="O30" s="36"/>
    </row>
    <row r="31" spans="1:15" ht="41.25" customHeight="1">
      <c r="A31" s="159"/>
      <c r="B31" s="13" t="s">
        <v>186</v>
      </c>
      <c r="C31" s="159"/>
      <c r="D31" s="5">
        <v>4635</v>
      </c>
      <c r="E31" s="39">
        <v>4000</v>
      </c>
      <c r="F31" s="5">
        <v>4752.5</v>
      </c>
      <c r="G31" s="25">
        <f t="shared" si="5"/>
        <v>752.5</v>
      </c>
      <c r="H31" s="25">
        <f t="shared" si="6"/>
        <v>118.81250000000001</v>
      </c>
      <c r="J31" s="36"/>
      <c r="M31" s="36"/>
    </row>
    <row r="32" spans="1:15" ht="58.5" customHeight="1">
      <c r="A32" s="159"/>
      <c r="B32" s="13" t="s">
        <v>185</v>
      </c>
      <c r="C32" s="159"/>
      <c r="D32" s="5">
        <v>171.9</v>
      </c>
      <c r="E32" s="39">
        <v>547.1</v>
      </c>
      <c r="F32" s="5">
        <v>2</v>
      </c>
      <c r="G32" s="25">
        <f t="shared" si="5"/>
        <v>-545.1</v>
      </c>
      <c r="H32" s="25">
        <f t="shared" si="6"/>
        <v>0.3655638822884299</v>
      </c>
      <c r="J32" s="36"/>
    </row>
    <row r="33" spans="1:14" ht="27" customHeight="1">
      <c r="A33" s="159"/>
      <c r="B33" s="13" t="s">
        <v>188</v>
      </c>
      <c r="C33" s="159"/>
      <c r="D33" s="5">
        <v>111.7</v>
      </c>
      <c r="E33" s="39">
        <v>180.9</v>
      </c>
      <c r="F33" s="5">
        <v>255.4</v>
      </c>
      <c r="G33" s="25">
        <f t="shared" si="5"/>
        <v>74.5</v>
      </c>
      <c r="H33" s="25">
        <f t="shared" si="6"/>
        <v>141.18297401879491</v>
      </c>
      <c r="J33" s="36"/>
    </row>
    <row r="34" spans="1:14" ht="26.25" customHeight="1">
      <c r="A34" s="159"/>
      <c r="B34" s="13" t="s">
        <v>189</v>
      </c>
      <c r="C34" s="159"/>
      <c r="D34" s="5">
        <v>86.9</v>
      </c>
      <c r="E34" s="39"/>
      <c r="F34" s="5">
        <v>4.5999999999999996</v>
      </c>
      <c r="G34" s="25">
        <f t="shared" si="5"/>
        <v>4.5999999999999996</v>
      </c>
      <c r="H34" s="44" t="e">
        <f t="shared" si="6"/>
        <v>#DIV/0!</v>
      </c>
      <c r="J34" s="36"/>
    </row>
    <row r="35" spans="1:14" ht="30" customHeight="1">
      <c r="A35" s="159"/>
      <c r="B35" s="17" t="s">
        <v>210</v>
      </c>
      <c r="C35" s="159"/>
      <c r="D35" s="5">
        <v>7567.6</v>
      </c>
      <c r="E35" s="40">
        <v>6699.3</v>
      </c>
      <c r="F35" s="5">
        <v>7908.9</v>
      </c>
      <c r="G35" s="25">
        <f t="shared" si="5"/>
        <v>1209.5999999999995</v>
      </c>
      <c r="H35" s="25">
        <f t="shared" si="6"/>
        <v>118.05561775110831</v>
      </c>
    </row>
    <row r="36" spans="1:14" ht="41.25" customHeight="1">
      <c r="A36" s="159"/>
      <c r="B36" s="17" t="s">
        <v>602</v>
      </c>
      <c r="C36" s="159"/>
      <c r="D36" s="5"/>
      <c r="E36" s="40"/>
      <c r="F36" s="5">
        <v>433.5</v>
      </c>
      <c r="G36" s="25">
        <f t="shared" si="5"/>
        <v>433.5</v>
      </c>
      <c r="H36" s="44" t="e">
        <f t="shared" si="6"/>
        <v>#DIV/0!</v>
      </c>
    </row>
    <row r="37" spans="1:14" ht="59.25" customHeight="1">
      <c r="A37" s="159"/>
      <c r="B37" s="17" t="s">
        <v>187</v>
      </c>
      <c r="C37" s="159"/>
      <c r="D37" s="5">
        <v>2594.6</v>
      </c>
      <c r="E37" s="40"/>
      <c r="F37" s="5">
        <v>554.29999999999995</v>
      </c>
      <c r="G37" s="25">
        <f t="shared" si="5"/>
        <v>554.29999999999995</v>
      </c>
      <c r="H37" s="44" t="e">
        <f t="shared" si="6"/>
        <v>#DIV/0!</v>
      </c>
    </row>
    <row r="38" spans="1:14" ht="27.75" customHeight="1">
      <c r="A38" s="159"/>
      <c r="B38" s="17" t="s">
        <v>327</v>
      </c>
      <c r="C38" s="159"/>
      <c r="D38" s="5"/>
      <c r="E38" s="40"/>
      <c r="F38" s="5">
        <v>146.4</v>
      </c>
      <c r="G38" s="25">
        <f t="shared" si="5"/>
        <v>146.4</v>
      </c>
      <c r="H38" s="44" t="e">
        <f t="shared" si="6"/>
        <v>#DIV/0!</v>
      </c>
    </row>
    <row r="39" spans="1:14" ht="27" customHeight="1">
      <c r="A39" s="159"/>
      <c r="B39" s="13" t="s">
        <v>137</v>
      </c>
      <c r="C39" s="159"/>
      <c r="D39" s="5">
        <v>511.2</v>
      </c>
      <c r="E39" s="40">
        <v>807</v>
      </c>
      <c r="F39" s="5">
        <v>748.2</v>
      </c>
      <c r="G39" s="25">
        <f t="shared" si="5"/>
        <v>-58.799999999999955</v>
      </c>
      <c r="H39" s="25">
        <f t="shared" si="6"/>
        <v>92.713754646840158</v>
      </c>
    </row>
    <row r="40" spans="1:14" ht="30" customHeight="1">
      <c r="A40" s="159"/>
      <c r="B40" s="17" t="s">
        <v>138</v>
      </c>
      <c r="C40" s="159"/>
      <c r="D40" s="5">
        <v>133.80000000000001</v>
      </c>
      <c r="E40" s="40">
        <v>215.8</v>
      </c>
      <c r="F40" s="5">
        <v>1.9</v>
      </c>
      <c r="G40" s="25">
        <f t="shared" si="5"/>
        <v>-213.9</v>
      </c>
      <c r="H40" s="25">
        <f t="shared" si="6"/>
        <v>0.88044485634847081</v>
      </c>
    </row>
    <row r="41" spans="1:14" ht="26.25" customHeight="1">
      <c r="A41" s="159"/>
      <c r="B41" s="17" t="s">
        <v>178</v>
      </c>
      <c r="C41" s="159"/>
      <c r="D41" s="5">
        <v>85.5</v>
      </c>
      <c r="E41" s="40">
        <v>120.6</v>
      </c>
      <c r="F41" s="5">
        <v>163.19999999999999</v>
      </c>
      <c r="G41" s="25">
        <f t="shared" si="5"/>
        <v>42.599999999999994</v>
      </c>
      <c r="H41" s="25">
        <f t="shared" si="6"/>
        <v>135.32338308457713</v>
      </c>
    </row>
    <row r="42" spans="1:14" ht="63.75" customHeight="1">
      <c r="A42" s="18"/>
      <c r="B42" s="13" t="s">
        <v>211</v>
      </c>
      <c r="C42" s="19"/>
      <c r="D42" s="5">
        <v>256.2</v>
      </c>
      <c r="E42" s="40">
        <v>426.8</v>
      </c>
      <c r="F42" s="5">
        <f>629.7+11.6</f>
        <v>641.30000000000007</v>
      </c>
      <c r="G42" s="25">
        <f t="shared" si="5"/>
        <v>214.50000000000006</v>
      </c>
      <c r="H42" s="25">
        <f t="shared" si="6"/>
        <v>150.25773195876292</v>
      </c>
    </row>
    <row r="43" spans="1:14" ht="22.5" customHeight="1">
      <c r="A43" s="18"/>
      <c r="B43" s="13" t="s">
        <v>513</v>
      </c>
      <c r="C43" s="19"/>
      <c r="D43" s="5">
        <v>127.6</v>
      </c>
      <c r="E43" s="40"/>
      <c r="F43" s="5"/>
      <c r="G43" s="25">
        <f t="shared" si="5"/>
        <v>0</v>
      </c>
      <c r="H43" s="44" t="e">
        <f t="shared" si="6"/>
        <v>#DIV/0!</v>
      </c>
    </row>
    <row r="44" spans="1:14" ht="45" customHeight="1">
      <c r="A44" s="18"/>
      <c r="B44" s="13" t="s">
        <v>162</v>
      </c>
      <c r="C44" s="19"/>
      <c r="D44" s="5">
        <v>48.2</v>
      </c>
      <c r="E44" s="40">
        <v>96</v>
      </c>
      <c r="F44" s="5">
        <v>99.5</v>
      </c>
      <c r="G44" s="25">
        <f t="shared" si="5"/>
        <v>3.5</v>
      </c>
      <c r="H44" s="25">
        <f t="shared" si="6"/>
        <v>103.64583333333333</v>
      </c>
    </row>
    <row r="45" spans="1:14" ht="35.25" customHeight="1">
      <c r="A45" s="204" t="s">
        <v>80</v>
      </c>
      <c r="B45" s="204"/>
      <c r="C45" s="159">
        <v>1015</v>
      </c>
      <c r="D45" s="4">
        <f>SUM(D46:D80)</f>
        <v>7496.5</v>
      </c>
      <c r="E45" s="4">
        <f>SUM(E46:E80)</f>
        <v>11694.4</v>
      </c>
      <c r="F45" s="4">
        <f>SUM(F46:F80)</f>
        <v>9417.3999999999978</v>
      </c>
      <c r="G45" s="24">
        <f t="shared" si="5"/>
        <v>-2277.0000000000018</v>
      </c>
      <c r="H45" s="24">
        <f t="shared" si="6"/>
        <v>80.529142153509355</v>
      </c>
      <c r="J45" s="36"/>
      <c r="M45" s="36"/>
    </row>
    <row r="46" spans="1:14" ht="30" customHeight="1">
      <c r="A46" s="159"/>
      <c r="B46" s="15" t="s">
        <v>144</v>
      </c>
      <c r="C46" s="159"/>
      <c r="D46" s="5">
        <v>26</v>
      </c>
      <c r="E46" s="5">
        <v>49.2</v>
      </c>
      <c r="F46" s="5">
        <v>36.9</v>
      </c>
      <c r="G46" s="25">
        <f t="shared" si="5"/>
        <v>-12.300000000000004</v>
      </c>
      <c r="H46" s="25">
        <f t="shared" si="6"/>
        <v>74.999999999999986</v>
      </c>
      <c r="K46" s="36"/>
      <c r="N46" s="36"/>
    </row>
    <row r="47" spans="1:14" ht="27.75" customHeight="1">
      <c r="A47" s="159"/>
      <c r="B47" s="13" t="s">
        <v>145</v>
      </c>
      <c r="C47" s="159"/>
      <c r="D47" s="5">
        <v>226.5</v>
      </c>
      <c r="E47" s="5">
        <v>338</v>
      </c>
      <c r="F47" s="5">
        <v>172.4</v>
      </c>
      <c r="G47" s="25">
        <f t="shared" si="5"/>
        <v>-165.6</v>
      </c>
      <c r="H47" s="25">
        <f t="shared" si="6"/>
        <v>51.005917159763314</v>
      </c>
    </row>
    <row r="48" spans="1:14" ht="27.75" customHeight="1">
      <c r="A48" s="159"/>
      <c r="B48" s="13" t="s">
        <v>146</v>
      </c>
      <c r="C48" s="159"/>
      <c r="D48" s="5">
        <v>47.4</v>
      </c>
      <c r="E48" s="5">
        <v>149.9</v>
      </c>
      <c r="F48" s="5">
        <f>5.1+72.9</f>
        <v>78</v>
      </c>
      <c r="G48" s="25">
        <f t="shared" si="5"/>
        <v>-71.900000000000006</v>
      </c>
      <c r="H48" s="25">
        <f t="shared" si="6"/>
        <v>52.034689793195469</v>
      </c>
    </row>
    <row r="49" spans="1:8" ht="27.75" customHeight="1">
      <c r="A49" s="159"/>
      <c r="B49" s="13" t="s">
        <v>147</v>
      </c>
      <c r="C49" s="159"/>
      <c r="D49" s="5">
        <v>32.799999999999997</v>
      </c>
      <c r="E49" s="5">
        <v>49.5</v>
      </c>
      <c r="F49" s="5">
        <v>45.8</v>
      </c>
      <c r="G49" s="25">
        <f t="shared" si="5"/>
        <v>-3.7000000000000028</v>
      </c>
      <c r="H49" s="25">
        <f t="shared" si="6"/>
        <v>92.525252525252526</v>
      </c>
    </row>
    <row r="50" spans="1:8" ht="30" customHeight="1">
      <c r="A50" s="159"/>
      <c r="B50" s="13" t="s">
        <v>148</v>
      </c>
      <c r="C50" s="159"/>
      <c r="D50" s="5">
        <v>304.7</v>
      </c>
      <c r="E50" s="5">
        <v>495</v>
      </c>
      <c r="F50" s="5">
        <v>225.9</v>
      </c>
      <c r="G50" s="25">
        <f t="shared" si="5"/>
        <v>-269.10000000000002</v>
      </c>
      <c r="H50" s="25">
        <f t="shared" si="6"/>
        <v>45.636363636363633</v>
      </c>
    </row>
    <row r="51" spans="1:8" ht="39.75" customHeight="1">
      <c r="A51" s="159"/>
      <c r="B51" s="13" t="s">
        <v>180</v>
      </c>
      <c r="C51" s="159"/>
      <c r="D51" s="5">
        <v>2.8</v>
      </c>
      <c r="E51" s="5">
        <v>82</v>
      </c>
      <c r="F51" s="5">
        <v>95.5</v>
      </c>
      <c r="G51" s="25">
        <f t="shared" si="5"/>
        <v>13.5</v>
      </c>
      <c r="H51" s="25">
        <f t="shared" si="6"/>
        <v>116.46341463414633</v>
      </c>
    </row>
    <row r="52" spans="1:8" ht="39" customHeight="1">
      <c r="A52" s="159"/>
      <c r="B52" s="15" t="s">
        <v>149</v>
      </c>
      <c r="C52" s="159"/>
      <c r="D52" s="5">
        <v>670.8</v>
      </c>
      <c r="E52" s="5">
        <v>770.3</v>
      </c>
      <c r="F52" s="5">
        <v>240.3</v>
      </c>
      <c r="G52" s="25">
        <f t="shared" si="5"/>
        <v>-530</v>
      </c>
      <c r="H52" s="25">
        <f t="shared" si="6"/>
        <v>31.195638063092307</v>
      </c>
    </row>
    <row r="53" spans="1:8" ht="27" customHeight="1">
      <c r="A53" s="29"/>
      <c r="B53" s="15" t="s">
        <v>150</v>
      </c>
      <c r="C53" s="19"/>
      <c r="D53" s="5">
        <v>58.3</v>
      </c>
      <c r="E53" s="5">
        <v>110.7</v>
      </c>
      <c r="F53" s="5">
        <v>34.1</v>
      </c>
      <c r="G53" s="25">
        <f t="shared" si="5"/>
        <v>-76.599999999999994</v>
      </c>
      <c r="H53" s="25">
        <f t="shared" si="6"/>
        <v>30.803974706413733</v>
      </c>
    </row>
    <row r="54" spans="1:8" ht="27" customHeight="1">
      <c r="A54" s="29"/>
      <c r="B54" s="15" t="s">
        <v>436</v>
      </c>
      <c r="C54" s="19"/>
      <c r="D54" s="5"/>
      <c r="E54" s="5"/>
      <c r="F54" s="5">
        <v>12.6</v>
      </c>
      <c r="G54" s="25">
        <f t="shared" si="5"/>
        <v>12.6</v>
      </c>
      <c r="H54" s="44" t="e">
        <f t="shared" si="6"/>
        <v>#DIV/0!</v>
      </c>
    </row>
    <row r="55" spans="1:8" ht="27" customHeight="1">
      <c r="A55" s="29"/>
      <c r="B55" s="15" t="s">
        <v>163</v>
      </c>
      <c r="C55" s="19"/>
      <c r="D55" s="5">
        <v>3.3</v>
      </c>
      <c r="E55" s="5">
        <v>3.2</v>
      </c>
      <c r="F55" s="5">
        <v>3.1</v>
      </c>
      <c r="G55" s="25">
        <f t="shared" si="5"/>
        <v>-0.10000000000000009</v>
      </c>
      <c r="H55" s="25">
        <f t="shared" si="6"/>
        <v>96.875</v>
      </c>
    </row>
    <row r="56" spans="1:8" ht="28.5" customHeight="1">
      <c r="A56" s="29"/>
      <c r="B56" s="13" t="s">
        <v>212</v>
      </c>
      <c r="C56" s="19"/>
      <c r="D56" s="5">
        <v>73.400000000000006</v>
      </c>
      <c r="E56" s="5">
        <v>72</v>
      </c>
      <c r="F56" s="5">
        <v>84.2</v>
      </c>
      <c r="G56" s="25">
        <f t="shared" si="5"/>
        <v>12.200000000000003</v>
      </c>
      <c r="H56" s="25">
        <f t="shared" si="6"/>
        <v>116.94444444444446</v>
      </c>
    </row>
    <row r="57" spans="1:8" ht="32.25" customHeight="1">
      <c r="A57" s="29"/>
      <c r="B57" s="13" t="s">
        <v>152</v>
      </c>
      <c r="C57" s="19"/>
      <c r="D57" s="5">
        <v>32.4</v>
      </c>
      <c r="E57" s="5">
        <v>36.799999999999997</v>
      </c>
      <c r="F57" s="5">
        <f>24.4-11.6</f>
        <v>12.799999999999999</v>
      </c>
      <c r="G57" s="25">
        <f t="shared" si="5"/>
        <v>-24</v>
      </c>
      <c r="H57" s="25">
        <f t="shared" si="6"/>
        <v>34.782608695652172</v>
      </c>
    </row>
    <row r="58" spans="1:8" ht="35.25" customHeight="1">
      <c r="A58" s="29"/>
      <c r="B58" s="15" t="s">
        <v>165</v>
      </c>
      <c r="C58" s="19"/>
      <c r="D58" s="5">
        <v>15.7</v>
      </c>
      <c r="E58" s="5">
        <v>44</v>
      </c>
      <c r="F58" s="5">
        <v>11</v>
      </c>
      <c r="G58" s="25">
        <f t="shared" si="5"/>
        <v>-33</v>
      </c>
      <c r="H58" s="25">
        <f t="shared" si="6"/>
        <v>25</v>
      </c>
    </row>
    <row r="59" spans="1:8" ht="38.25" customHeight="1">
      <c r="A59" s="29"/>
      <c r="B59" s="15" t="s">
        <v>167</v>
      </c>
      <c r="C59" s="19"/>
      <c r="D59" s="5">
        <v>6.6</v>
      </c>
      <c r="E59" s="5"/>
      <c r="F59" s="5">
        <v>15.6</v>
      </c>
      <c r="G59" s="25">
        <f t="shared" si="5"/>
        <v>15.6</v>
      </c>
      <c r="H59" s="44" t="e">
        <f t="shared" si="6"/>
        <v>#DIV/0!</v>
      </c>
    </row>
    <row r="60" spans="1:8" ht="27.75" customHeight="1">
      <c r="A60" s="29"/>
      <c r="B60" s="21" t="s">
        <v>213</v>
      </c>
      <c r="C60" s="19"/>
      <c r="D60" s="5">
        <v>214.2</v>
      </c>
      <c r="E60" s="5">
        <v>146</v>
      </c>
      <c r="F60" s="5">
        <v>462.2</v>
      </c>
      <c r="G60" s="25">
        <f t="shared" si="5"/>
        <v>316.2</v>
      </c>
      <c r="H60" s="25">
        <f t="shared" si="6"/>
        <v>316.57534246575341</v>
      </c>
    </row>
    <row r="61" spans="1:8" ht="55.5" customHeight="1">
      <c r="A61" s="29"/>
      <c r="B61" s="13" t="s">
        <v>181</v>
      </c>
      <c r="C61" s="19"/>
      <c r="D61" s="5">
        <v>7</v>
      </c>
      <c r="E61" s="5">
        <v>6.6</v>
      </c>
      <c r="F61" s="5">
        <v>4.3</v>
      </c>
      <c r="G61" s="25">
        <f t="shared" si="5"/>
        <v>-2.2999999999999998</v>
      </c>
      <c r="H61" s="25">
        <f t="shared" si="6"/>
        <v>65.151515151515156</v>
      </c>
    </row>
    <row r="62" spans="1:8" ht="28.5" customHeight="1">
      <c r="A62" s="29"/>
      <c r="B62" s="13" t="s">
        <v>262</v>
      </c>
      <c r="C62" s="19"/>
      <c r="D62" s="5">
        <v>5.6</v>
      </c>
      <c r="E62" s="5">
        <v>5</v>
      </c>
      <c r="F62" s="5"/>
      <c r="G62" s="25">
        <f t="shared" si="5"/>
        <v>-5</v>
      </c>
      <c r="H62" s="25">
        <f t="shared" si="6"/>
        <v>0</v>
      </c>
    </row>
    <row r="63" spans="1:8" ht="27" customHeight="1">
      <c r="A63" s="29"/>
      <c r="B63" s="13" t="s">
        <v>247</v>
      </c>
      <c r="C63" s="19"/>
      <c r="D63" s="5">
        <v>2.6</v>
      </c>
      <c r="E63" s="5"/>
      <c r="F63" s="5"/>
      <c r="G63" s="25">
        <f t="shared" si="5"/>
        <v>0</v>
      </c>
      <c r="H63" s="44" t="e">
        <f t="shared" si="6"/>
        <v>#DIV/0!</v>
      </c>
    </row>
    <row r="64" spans="1:8" ht="31.5" customHeight="1">
      <c r="A64" s="29"/>
      <c r="B64" s="13" t="s">
        <v>248</v>
      </c>
      <c r="C64" s="19"/>
      <c r="D64" s="5">
        <v>27.8</v>
      </c>
      <c r="E64" s="5">
        <v>5.7</v>
      </c>
      <c r="F64" s="5">
        <v>4.5999999999999996</v>
      </c>
      <c r="G64" s="25">
        <f t="shared" si="5"/>
        <v>-1.1000000000000005</v>
      </c>
      <c r="H64" s="25">
        <f t="shared" si="6"/>
        <v>80.701754385964904</v>
      </c>
    </row>
    <row r="65" spans="1:8" ht="31.5" customHeight="1">
      <c r="A65" s="29"/>
      <c r="B65" s="13" t="s">
        <v>597</v>
      </c>
      <c r="C65" s="19"/>
      <c r="D65" s="5"/>
      <c r="E65" s="5"/>
      <c r="F65" s="5">
        <v>9</v>
      </c>
      <c r="G65" s="25">
        <f t="shared" si="5"/>
        <v>9</v>
      </c>
      <c r="H65" s="44" t="e">
        <f t="shared" si="6"/>
        <v>#DIV/0!</v>
      </c>
    </row>
    <row r="66" spans="1:8" ht="30" customHeight="1">
      <c r="A66" s="29"/>
      <c r="B66" s="15" t="s">
        <v>170</v>
      </c>
      <c r="C66" s="19"/>
      <c r="D66" s="5"/>
      <c r="E66" s="5">
        <v>6</v>
      </c>
      <c r="F66" s="5"/>
      <c r="G66" s="25">
        <f t="shared" si="5"/>
        <v>-6</v>
      </c>
      <c r="H66" s="25">
        <f t="shared" si="6"/>
        <v>0</v>
      </c>
    </row>
    <row r="67" spans="1:8" ht="28.5" customHeight="1">
      <c r="A67" s="29"/>
      <c r="B67" s="15" t="s">
        <v>171</v>
      </c>
      <c r="C67" s="19"/>
      <c r="D67" s="5">
        <v>3457</v>
      </c>
      <c r="E67" s="5">
        <v>5661.2</v>
      </c>
      <c r="F67" s="5">
        <v>4430.3999999999996</v>
      </c>
      <c r="G67" s="25">
        <f t="shared" si="5"/>
        <v>-1230.8000000000002</v>
      </c>
      <c r="H67" s="25">
        <f t="shared" si="6"/>
        <v>78.259026354836422</v>
      </c>
    </row>
    <row r="68" spans="1:8" ht="27.75" customHeight="1">
      <c r="A68" s="29"/>
      <c r="B68" s="20" t="s">
        <v>172</v>
      </c>
      <c r="C68" s="19"/>
      <c r="D68" s="5">
        <v>445.6</v>
      </c>
      <c r="E68" s="5">
        <v>511.7</v>
      </c>
      <c r="F68" s="5">
        <v>336.2</v>
      </c>
      <c r="G68" s="25">
        <f t="shared" si="5"/>
        <v>-175.5</v>
      </c>
      <c r="H68" s="25">
        <f t="shared" si="6"/>
        <v>65.702560093804962</v>
      </c>
    </row>
    <row r="69" spans="1:8" ht="30.75" customHeight="1">
      <c r="A69" s="29"/>
      <c r="B69" s="20" t="s">
        <v>173</v>
      </c>
      <c r="C69" s="19"/>
      <c r="D69" s="5">
        <v>1681</v>
      </c>
      <c r="E69" s="5">
        <v>2983</v>
      </c>
      <c r="F69" s="5">
        <v>2914.8</v>
      </c>
      <c r="G69" s="25">
        <f t="shared" si="5"/>
        <v>-68.199999999999818</v>
      </c>
      <c r="H69" s="25">
        <f t="shared" si="6"/>
        <v>97.713711029165268</v>
      </c>
    </row>
    <row r="70" spans="1:8" ht="26.25" customHeight="1">
      <c r="A70" s="29"/>
      <c r="B70" s="20" t="s">
        <v>174</v>
      </c>
      <c r="C70" s="19"/>
      <c r="D70" s="5">
        <v>120.4</v>
      </c>
      <c r="E70" s="5">
        <v>155.80000000000001</v>
      </c>
      <c r="F70" s="5">
        <v>150.4</v>
      </c>
      <c r="G70" s="25">
        <f t="shared" si="5"/>
        <v>-5.4000000000000057</v>
      </c>
      <c r="H70" s="25">
        <f t="shared" si="6"/>
        <v>96.534017971758658</v>
      </c>
    </row>
    <row r="71" spans="1:8" ht="32.25" customHeight="1">
      <c r="A71" s="29"/>
      <c r="B71" s="20" t="s">
        <v>600</v>
      </c>
      <c r="C71" s="19"/>
      <c r="D71" s="5"/>
      <c r="E71" s="5"/>
      <c r="F71" s="5">
        <v>16</v>
      </c>
      <c r="G71" s="25">
        <f t="shared" si="5"/>
        <v>16</v>
      </c>
      <c r="H71" s="44" t="e">
        <f t="shared" si="6"/>
        <v>#DIV/0!</v>
      </c>
    </row>
    <row r="72" spans="1:8" ht="31.5" customHeight="1">
      <c r="A72" s="29"/>
      <c r="B72" s="20" t="s">
        <v>257</v>
      </c>
      <c r="C72" s="19"/>
      <c r="D72" s="5">
        <v>0.7</v>
      </c>
      <c r="E72" s="5">
        <v>3</v>
      </c>
      <c r="F72" s="5">
        <v>1.6</v>
      </c>
      <c r="G72" s="25">
        <f t="shared" si="5"/>
        <v>-1.4</v>
      </c>
      <c r="H72" s="25">
        <f t="shared" si="6"/>
        <v>53.333333333333336</v>
      </c>
    </row>
    <row r="73" spans="1:8" ht="27" customHeight="1">
      <c r="A73" s="29"/>
      <c r="B73" s="20" t="s">
        <v>472</v>
      </c>
      <c r="C73" s="19"/>
      <c r="D73" s="5">
        <v>1.1000000000000001</v>
      </c>
      <c r="E73" s="5">
        <v>2.8</v>
      </c>
      <c r="F73" s="5"/>
      <c r="G73" s="25">
        <f t="shared" si="5"/>
        <v>-2.8</v>
      </c>
      <c r="H73" s="25">
        <f t="shared" si="6"/>
        <v>0</v>
      </c>
    </row>
    <row r="74" spans="1:8" ht="25.5" customHeight="1">
      <c r="A74" s="29"/>
      <c r="B74" s="20" t="s">
        <v>599</v>
      </c>
      <c r="C74" s="19"/>
      <c r="D74" s="5"/>
      <c r="E74" s="5"/>
      <c r="F74" s="5">
        <v>4.8</v>
      </c>
      <c r="G74" s="25">
        <f t="shared" si="5"/>
        <v>4.8</v>
      </c>
      <c r="H74" s="44" t="e">
        <f t="shared" si="6"/>
        <v>#DIV/0!</v>
      </c>
    </row>
    <row r="75" spans="1:8" ht="28.5" customHeight="1">
      <c r="A75" s="29"/>
      <c r="B75" s="20" t="s">
        <v>263</v>
      </c>
      <c r="C75" s="19"/>
      <c r="D75" s="5">
        <v>4</v>
      </c>
      <c r="E75" s="5"/>
      <c r="F75" s="5"/>
      <c r="G75" s="25">
        <f t="shared" si="5"/>
        <v>0</v>
      </c>
      <c r="H75" s="44" t="e">
        <f t="shared" si="6"/>
        <v>#DIV/0!</v>
      </c>
    </row>
    <row r="76" spans="1:8" ht="30.75" customHeight="1">
      <c r="A76" s="29"/>
      <c r="B76" s="20" t="s">
        <v>169</v>
      </c>
      <c r="C76" s="19"/>
      <c r="D76" s="5">
        <v>13.9</v>
      </c>
      <c r="E76" s="5"/>
      <c r="F76" s="5"/>
      <c r="G76" s="25">
        <f t="shared" si="5"/>
        <v>0</v>
      </c>
      <c r="H76" s="44" t="e">
        <f t="shared" si="6"/>
        <v>#DIV/0!</v>
      </c>
    </row>
    <row r="77" spans="1:8" ht="27.75" customHeight="1">
      <c r="A77" s="29"/>
      <c r="B77" s="20" t="s">
        <v>598</v>
      </c>
      <c r="C77" s="19"/>
      <c r="D77" s="5"/>
      <c r="E77" s="5"/>
      <c r="F77" s="5">
        <v>9.5</v>
      </c>
      <c r="G77" s="25">
        <f t="shared" ref="G77:G127" si="7">F77-E77</f>
        <v>9.5</v>
      </c>
      <c r="H77" s="44" t="e">
        <f t="shared" ref="H77:H127" si="8">(F77/E77)*100</f>
        <v>#DIV/0!</v>
      </c>
    </row>
    <row r="78" spans="1:8" ht="28.5" customHeight="1">
      <c r="A78" s="29"/>
      <c r="B78" s="20" t="s">
        <v>685</v>
      </c>
      <c r="C78" s="19"/>
      <c r="D78" s="5"/>
      <c r="E78" s="5"/>
      <c r="F78" s="5">
        <v>5.4</v>
      </c>
      <c r="G78" s="25">
        <f t="shared" si="7"/>
        <v>5.4</v>
      </c>
      <c r="H78" s="44" t="e">
        <f t="shared" si="8"/>
        <v>#DIV/0!</v>
      </c>
    </row>
    <row r="79" spans="1:8" ht="30.75" customHeight="1">
      <c r="A79" s="29"/>
      <c r="B79" s="20" t="s">
        <v>216</v>
      </c>
      <c r="C79" s="19"/>
      <c r="D79" s="5">
        <v>8.1</v>
      </c>
      <c r="E79" s="5"/>
      <c r="F79" s="5"/>
      <c r="G79" s="25">
        <f t="shared" si="7"/>
        <v>0</v>
      </c>
      <c r="H79" s="44" t="e">
        <f t="shared" si="8"/>
        <v>#DIV/0!</v>
      </c>
    </row>
    <row r="80" spans="1:8" ht="28.5" customHeight="1">
      <c r="A80" s="29"/>
      <c r="B80" s="13" t="s">
        <v>175</v>
      </c>
      <c r="C80" s="19"/>
      <c r="D80" s="5">
        <v>6.8</v>
      </c>
      <c r="E80" s="5">
        <v>7</v>
      </c>
      <c r="F80" s="5"/>
      <c r="G80" s="25">
        <f t="shared" si="7"/>
        <v>-7</v>
      </c>
      <c r="H80" s="25">
        <f t="shared" si="8"/>
        <v>0</v>
      </c>
    </row>
    <row r="81" spans="1:13" s="28" customFormat="1" ht="39" customHeight="1">
      <c r="A81" s="198" t="s">
        <v>81</v>
      </c>
      <c r="B81" s="198"/>
      <c r="C81" s="37"/>
      <c r="D81" s="4"/>
      <c r="E81" s="4"/>
      <c r="F81" s="4"/>
      <c r="G81" s="24"/>
      <c r="H81" s="24"/>
    </row>
    <row r="82" spans="1:13" s="28" customFormat="1" ht="32.25" customHeight="1">
      <c r="A82" s="204" t="s">
        <v>79</v>
      </c>
      <c r="B82" s="204"/>
      <c r="C82" s="159">
        <v>1021</v>
      </c>
      <c r="D82" s="4">
        <f>D83+D85+D84</f>
        <v>83.5</v>
      </c>
      <c r="E82" s="4">
        <f>E83</f>
        <v>52</v>
      </c>
      <c r="F82" s="4">
        <f>SUM(F83:F85)</f>
        <v>35.700000000000003</v>
      </c>
      <c r="G82" s="24">
        <f t="shared" si="7"/>
        <v>-16.299999999999997</v>
      </c>
      <c r="H82" s="24">
        <f t="shared" si="8"/>
        <v>68.65384615384616</v>
      </c>
      <c r="I82" s="28">
        <v>35.700000000000003</v>
      </c>
    </row>
    <row r="83" spans="1:13" s="28" customFormat="1" ht="66" customHeight="1">
      <c r="A83" s="159"/>
      <c r="B83" s="13" t="s">
        <v>211</v>
      </c>
      <c r="C83" s="159"/>
      <c r="D83" s="5">
        <v>39</v>
      </c>
      <c r="E83" s="5">
        <v>52</v>
      </c>
      <c r="F83" s="5">
        <f>2.7+0.4</f>
        <v>3.1</v>
      </c>
      <c r="G83" s="25">
        <f t="shared" si="7"/>
        <v>-48.9</v>
      </c>
      <c r="H83" s="25">
        <f t="shared" si="8"/>
        <v>5.9615384615384617</v>
      </c>
      <c r="K83" s="38"/>
    </row>
    <row r="84" spans="1:13" s="28" customFormat="1" ht="30" customHeight="1">
      <c r="A84" s="159"/>
      <c r="B84" s="13" t="s">
        <v>513</v>
      </c>
      <c r="C84" s="159"/>
      <c r="D84" s="5">
        <v>8</v>
      </c>
      <c r="E84" s="5"/>
      <c r="F84" s="5">
        <f>10.9+21.7</f>
        <v>32.6</v>
      </c>
      <c r="G84" s="25">
        <f t="shared" si="7"/>
        <v>32.6</v>
      </c>
      <c r="H84" s="44" t="e">
        <f t="shared" si="8"/>
        <v>#DIV/0!</v>
      </c>
      <c r="K84" s="38"/>
    </row>
    <row r="85" spans="1:13" s="28" customFormat="1" ht="40.5" customHeight="1">
      <c r="A85" s="159"/>
      <c r="B85" s="13" t="s">
        <v>162</v>
      </c>
      <c r="C85" s="159"/>
      <c r="D85" s="5">
        <v>36.5</v>
      </c>
      <c r="E85" s="5"/>
      <c r="F85" s="5"/>
      <c r="G85" s="25">
        <f t="shared" si="7"/>
        <v>0</v>
      </c>
      <c r="H85" s="44" t="e">
        <f t="shared" si="8"/>
        <v>#DIV/0!</v>
      </c>
    </row>
    <row r="86" spans="1:13" s="28" customFormat="1" ht="31.5" customHeight="1">
      <c r="A86" s="204" t="s">
        <v>82</v>
      </c>
      <c r="B86" s="204"/>
      <c r="C86" s="37">
        <v>1025</v>
      </c>
      <c r="D86" s="4">
        <f>SUM(D87:D111)</f>
        <v>521.19999999999993</v>
      </c>
      <c r="E86" s="4">
        <f>SUM(E87:E111)</f>
        <v>289.3</v>
      </c>
      <c r="F86" s="4">
        <f>SUM(F87:F111)</f>
        <v>787.4</v>
      </c>
      <c r="G86" s="24">
        <f t="shared" si="7"/>
        <v>498.09999999999997</v>
      </c>
      <c r="H86" s="24">
        <f t="shared" si="8"/>
        <v>272.17421361908055</v>
      </c>
      <c r="I86" s="28">
        <v>787.4</v>
      </c>
      <c r="J86" s="148"/>
    </row>
    <row r="87" spans="1:13" s="28" customFormat="1" ht="31.5" customHeight="1">
      <c r="A87" s="159"/>
      <c r="B87" s="22" t="s">
        <v>144</v>
      </c>
      <c r="C87" s="37"/>
      <c r="D87" s="5">
        <v>2.9</v>
      </c>
      <c r="E87" s="4"/>
      <c r="F87" s="4"/>
      <c r="G87" s="25">
        <f t="shared" si="7"/>
        <v>0</v>
      </c>
      <c r="H87" s="44" t="e">
        <f t="shared" si="8"/>
        <v>#DIV/0!</v>
      </c>
    </row>
    <row r="88" spans="1:13" s="28" customFormat="1" ht="31.5" customHeight="1">
      <c r="A88" s="159"/>
      <c r="B88" s="13" t="s">
        <v>152</v>
      </c>
      <c r="C88" s="37"/>
      <c r="D88" s="5">
        <v>12.6</v>
      </c>
      <c r="E88" s="5">
        <v>20.399999999999999</v>
      </c>
      <c r="F88" s="5">
        <f>3.6+32.4+1.3+11.6</f>
        <v>48.9</v>
      </c>
      <c r="G88" s="25">
        <f t="shared" si="7"/>
        <v>28.5</v>
      </c>
      <c r="H88" s="25">
        <f t="shared" si="8"/>
        <v>239.70588235294116</v>
      </c>
      <c r="J88" s="38"/>
      <c r="K88" s="38"/>
    </row>
    <row r="89" spans="1:13" s="28" customFormat="1" ht="28.5" customHeight="1">
      <c r="A89" s="159"/>
      <c r="B89" s="13" t="s">
        <v>158</v>
      </c>
      <c r="C89" s="37"/>
      <c r="D89" s="5">
        <v>3.7</v>
      </c>
      <c r="E89" s="5">
        <v>3.6</v>
      </c>
      <c r="F89" s="5">
        <v>4.5999999999999996</v>
      </c>
      <c r="G89" s="25">
        <f t="shared" si="7"/>
        <v>0.99999999999999956</v>
      </c>
      <c r="H89" s="25">
        <f t="shared" si="8"/>
        <v>127.77777777777777</v>
      </c>
      <c r="M89" s="38"/>
    </row>
    <row r="90" spans="1:13" s="28" customFormat="1" ht="45.75" customHeight="1">
      <c r="A90" s="159"/>
      <c r="B90" s="13" t="s">
        <v>167</v>
      </c>
      <c r="C90" s="37"/>
      <c r="D90" s="5">
        <v>63.1</v>
      </c>
      <c r="E90" s="5">
        <v>48</v>
      </c>
      <c r="F90" s="5">
        <f>15.9+4.8+22.7+100.5</f>
        <v>143.9</v>
      </c>
      <c r="G90" s="25">
        <f t="shared" si="7"/>
        <v>95.9</v>
      </c>
      <c r="H90" s="25">
        <f t="shared" si="8"/>
        <v>299.79166666666669</v>
      </c>
    </row>
    <row r="91" spans="1:13" s="28" customFormat="1" ht="52.5" customHeight="1">
      <c r="A91" s="159"/>
      <c r="B91" s="13" t="s">
        <v>180</v>
      </c>
      <c r="C91" s="37"/>
      <c r="D91" s="5">
        <v>62.6</v>
      </c>
      <c r="E91" s="5"/>
      <c r="F91" s="5"/>
      <c r="G91" s="25">
        <f t="shared" si="7"/>
        <v>0</v>
      </c>
      <c r="H91" s="44" t="e">
        <f t="shared" si="8"/>
        <v>#DIV/0!</v>
      </c>
    </row>
    <row r="92" spans="1:13" s="28" customFormat="1" ht="43.5" customHeight="1">
      <c r="A92" s="159"/>
      <c r="B92" s="17" t="s">
        <v>214</v>
      </c>
      <c r="C92" s="37"/>
      <c r="D92" s="5">
        <v>37.1</v>
      </c>
      <c r="E92" s="5">
        <v>28</v>
      </c>
      <c r="F92" s="5"/>
      <c r="G92" s="25">
        <f t="shared" si="7"/>
        <v>-28</v>
      </c>
      <c r="H92" s="25">
        <f t="shared" si="8"/>
        <v>0</v>
      </c>
    </row>
    <row r="93" spans="1:13" s="28" customFormat="1" ht="31.5" customHeight="1">
      <c r="A93" s="159"/>
      <c r="B93" s="17" t="s">
        <v>150</v>
      </c>
      <c r="C93" s="37"/>
      <c r="D93" s="5">
        <v>0.4</v>
      </c>
      <c r="E93" s="5"/>
      <c r="F93" s="5"/>
      <c r="G93" s="25">
        <f t="shared" si="7"/>
        <v>0</v>
      </c>
      <c r="H93" s="44" t="e">
        <f t="shared" si="8"/>
        <v>#DIV/0!</v>
      </c>
    </row>
    <row r="94" spans="1:13" s="28" customFormat="1" ht="26.25" customHeight="1">
      <c r="A94" s="159"/>
      <c r="B94" s="17" t="s">
        <v>265</v>
      </c>
      <c r="C94" s="37"/>
      <c r="D94" s="5">
        <v>4.0999999999999996</v>
      </c>
      <c r="E94" s="5"/>
      <c r="F94" s="5"/>
      <c r="G94" s="25">
        <f t="shared" si="7"/>
        <v>0</v>
      </c>
      <c r="H94" s="44" t="e">
        <f t="shared" si="8"/>
        <v>#DIV/0!</v>
      </c>
    </row>
    <row r="95" spans="1:13" s="28" customFormat="1" ht="34.5" customHeight="1">
      <c r="A95" s="159"/>
      <c r="B95" s="17" t="s">
        <v>213</v>
      </c>
      <c r="C95" s="37"/>
      <c r="D95" s="5">
        <v>163.30000000000001</v>
      </c>
      <c r="E95" s="5"/>
      <c r="F95" s="5">
        <v>85.4</v>
      </c>
      <c r="G95" s="25">
        <f t="shared" si="7"/>
        <v>85.4</v>
      </c>
      <c r="H95" s="44" t="e">
        <f t="shared" si="8"/>
        <v>#DIV/0!</v>
      </c>
    </row>
    <row r="96" spans="1:13" s="28" customFormat="1" ht="32.25" customHeight="1">
      <c r="A96" s="159"/>
      <c r="B96" s="13" t="s">
        <v>200</v>
      </c>
      <c r="C96" s="37"/>
      <c r="D96" s="5">
        <v>7</v>
      </c>
      <c r="E96" s="5">
        <v>2.6</v>
      </c>
      <c r="F96" s="5">
        <v>6.3</v>
      </c>
      <c r="G96" s="25">
        <f t="shared" si="7"/>
        <v>3.6999999999999997</v>
      </c>
      <c r="H96" s="25">
        <f t="shared" si="8"/>
        <v>242.30769230769229</v>
      </c>
    </row>
    <row r="97" spans="1:10" s="28" customFormat="1" ht="27" customHeight="1">
      <c r="A97" s="159"/>
      <c r="B97" s="13" t="s">
        <v>171</v>
      </c>
      <c r="C97" s="37"/>
      <c r="D97" s="5">
        <v>83.8</v>
      </c>
      <c r="E97" s="5">
        <v>104</v>
      </c>
      <c r="F97" s="5">
        <v>64.7</v>
      </c>
      <c r="G97" s="25">
        <f t="shared" si="7"/>
        <v>-39.299999999999997</v>
      </c>
      <c r="H97" s="25">
        <f t="shared" si="8"/>
        <v>62.21153846153846</v>
      </c>
    </row>
    <row r="98" spans="1:10" s="28" customFormat="1" ht="34.5" customHeight="1">
      <c r="A98" s="159"/>
      <c r="B98" s="13" t="s">
        <v>172</v>
      </c>
      <c r="C98" s="37"/>
      <c r="D98" s="5">
        <v>2.2000000000000002</v>
      </c>
      <c r="E98" s="5">
        <v>10.4</v>
      </c>
      <c r="F98" s="5">
        <v>6.5</v>
      </c>
      <c r="G98" s="25">
        <f t="shared" si="7"/>
        <v>-3.9000000000000004</v>
      </c>
      <c r="H98" s="25">
        <f t="shared" si="8"/>
        <v>62.5</v>
      </c>
    </row>
    <row r="99" spans="1:10" s="28" customFormat="1" ht="32.25" customHeight="1">
      <c r="A99" s="159"/>
      <c r="B99" s="13" t="s">
        <v>173</v>
      </c>
      <c r="C99" s="37"/>
      <c r="D99" s="5">
        <v>12</v>
      </c>
      <c r="E99" s="5">
        <v>43.8</v>
      </c>
      <c r="F99" s="5">
        <v>60.2</v>
      </c>
      <c r="G99" s="25">
        <f t="shared" si="7"/>
        <v>16.400000000000006</v>
      </c>
      <c r="H99" s="25">
        <f t="shared" si="8"/>
        <v>137.44292237442923</v>
      </c>
    </row>
    <row r="100" spans="1:10" s="28" customFormat="1" ht="31.5" customHeight="1">
      <c r="A100" s="159"/>
      <c r="B100" s="13" t="s">
        <v>174</v>
      </c>
      <c r="C100" s="37"/>
      <c r="D100" s="5">
        <v>0.5</v>
      </c>
      <c r="E100" s="5">
        <v>3.5</v>
      </c>
      <c r="F100" s="5">
        <v>2.8</v>
      </c>
      <c r="G100" s="25">
        <f t="shared" si="7"/>
        <v>-0.70000000000000018</v>
      </c>
      <c r="H100" s="25">
        <f t="shared" si="8"/>
        <v>80</v>
      </c>
    </row>
    <row r="101" spans="1:10" s="28" customFormat="1" ht="31.5" customHeight="1">
      <c r="A101" s="159"/>
      <c r="B101" s="13" t="s">
        <v>170</v>
      </c>
      <c r="C101" s="37"/>
      <c r="D101" s="5">
        <v>4.7</v>
      </c>
      <c r="E101" s="5"/>
      <c r="F101" s="5">
        <v>5.0999999999999996</v>
      </c>
      <c r="G101" s="25">
        <f t="shared" si="7"/>
        <v>5.0999999999999996</v>
      </c>
      <c r="H101" s="44" t="e">
        <f t="shared" si="8"/>
        <v>#DIV/0!</v>
      </c>
    </row>
    <row r="102" spans="1:10" s="28" customFormat="1" ht="31.5" customHeight="1">
      <c r="A102" s="159"/>
      <c r="B102" s="13" t="s">
        <v>175</v>
      </c>
      <c r="C102" s="37"/>
      <c r="D102" s="5"/>
      <c r="E102" s="5"/>
      <c r="F102" s="5">
        <v>5.0999999999999996</v>
      </c>
      <c r="G102" s="25">
        <f t="shared" si="7"/>
        <v>5.0999999999999996</v>
      </c>
      <c r="H102" s="44" t="e">
        <f t="shared" si="8"/>
        <v>#DIV/0!</v>
      </c>
    </row>
    <row r="103" spans="1:10" s="28" customFormat="1" ht="31.5" customHeight="1">
      <c r="A103" s="159"/>
      <c r="B103" s="13" t="s">
        <v>440</v>
      </c>
      <c r="C103" s="37"/>
      <c r="D103" s="5"/>
      <c r="E103" s="5"/>
      <c r="F103" s="5">
        <v>193</v>
      </c>
      <c r="G103" s="25">
        <f t="shared" si="7"/>
        <v>193</v>
      </c>
      <c r="H103" s="44" t="e">
        <f t="shared" si="8"/>
        <v>#DIV/0!</v>
      </c>
    </row>
    <row r="104" spans="1:10" s="28" customFormat="1" ht="36" customHeight="1">
      <c r="A104" s="159"/>
      <c r="B104" s="13" t="s">
        <v>514</v>
      </c>
      <c r="C104" s="37"/>
      <c r="D104" s="5">
        <v>1.4</v>
      </c>
      <c r="E104" s="5"/>
      <c r="F104" s="5">
        <f>21.3+5.8</f>
        <v>27.1</v>
      </c>
      <c r="G104" s="25">
        <f t="shared" si="7"/>
        <v>27.1</v>
      </c>
      <c r="H104" s="44" t="e">
        <f t="shared" si="8"/>
        <v>#DIV/0!</v>
      </c>
    </row>
    <row r="105" spans="1:10" s="28" customFormat="1" ht="45" customHeight="1">
      <c r="A105" s="159"/>
      <c r="B105" s="13" t="s">
        <v>433</v>
      </c>
      <c r="C105" s="37"/>
      <c r="D105" s="5">
        <v>23.9</v>
      </c>
      <c r="E105" s="5">
        <v>25</v>
      </c>
      <c r="F105" s="5">
        <v>20.5</v>
      </c>
      <c r="G105" s="25">
        <f t="shared" si="7"/>
        <v>-4.5</v>
      </c>
      <c r="H105" s="25">
        <f t="shared" si="8"/>
        <v>82</v>
      </c>
    </row>
    <row r="106" spans="1:10" s="28" customFormat="1" ht="31.5" customHeight="1">
      <c r="A106" s="159"/>
      <c r="B106" s="13" t="s">
        <v>257</v>
      </c>
      <c r="C106" s="37"/>
      <c r="D106" s="5">
        <v>3.9</v>
      </c>
      <c r="E106" s="5"/>
      <c r="F106" s="5"/>
      <c r="G106" s="25">
        <f t="shared" si="7"/>
        <v>0</v>
      </c>
      <c r="H106" s="44" t="e">
        <f t="shared" si="8"/>
        <v>#DIV/0!</v>
      </c>
    </row>
    <row r="107" spans="1:10" s="28" customFormat="1" ht="30" customHeight="1">
      <c r="A107" s="159"/>
      <c r="B107" s="13" t="s">
        <v>246</v>
      </c>
      <c r="C107" s="37"/>
      <c r="D107" s="5">
        <v>1.7</v>
      </c>
      <c r="E107" s="5"/>
      <c r="F107" s="5"/>
      <c r="G107" s="25">
        <f t="shared" si="7"/>
        <v>0</v>
      </c>
      <c r="H107" s="44" t="e">
        <f t="shared" si="8"/>
        <v>#DIV/0!</v>
      </c>
    </row>
    <row r="108" spans="1:10" s="28" customFormat="1" ht="30" customHeight="1">
      <c r="A108" s="159"/>
      <c r="B108" s="13" t="s">
        <v>264</v>
      </c>
      <c r="C108" s="37"/>
      <c r="D108" s="5">
        <v>16.7</v>
      </c>
      <c r="E108" s="5"/>
      <c r="F108" s="5"/>
      <c r="G108" s="25">
        <f t="shared" si="7"/>
        <v>0</v>
      </c>
      <c r="H108" s="44" t="e">
        <f t="shared" si="8"/>
        <v>#DIV/0!</v>
      </c>
    </row>
    <row r="109" spans="1:10" s="28" customFormat="1" ht="31.5" customHeight="1">
      <c r="A109" s="159"/>
      <c r="B109" s="13" t="s">
        <v>247</v>
      </c>
      <c r="C109" s="37"/>
      <c r="D109" s="5">
        <v>13.6</v>
      </c>
      <c r="E109" s="5"/>
      <c r="F109" s="5">
        <v>5.0999999999999996</v>
      </c>
      <c r="G109" s="25">
        <f t="shared" si="7"/>
        <v>5.0999999999999996</v>
      </c>
      <c r="H109" s="44" t="e">
        <f t="shared" si="8"/>
        <v>#DIV/0!</v>
      </c>
    </row>
    <row r="110" spans="1:10" s="28" customFormat="1" ht="31.5" customHeight="1">
      <c r="A110" s="159"/>
      <c r="B110" s="13" t="s">
        <v>693</v>
      </c>
      <c r="C110" s="37"/>
      <c r="D110" s="5"/>
      <c r="E110" s="5"/>
      <c r="F110" s="5">
        <v>1.3</v>
      </c>
      <c r="G110" s="25">
        <f t="shared" si="7"/>
        <v>1.3</v>
      </c>
      <c r="H110" s="44" t="e">
        <f t="shared" si="8"/>
        <v>#DIV/0!</v>
      </c>
    </row>
    <row r="111" spans="1:10" s="28" customFormat="1" ht="31.5" customHeight="1">
      <c r="A111" s="159"/>
      <c r="B111" s="13" t="s">
        <v>692</v>
      </c>
      <c r="C111" s="37"/>
      <c r="D111" s="5"/>
      <c r="E111" s="5"/>
      <c r="F111" s="5">
        <v>106.9</v>
      </c>
      <c r="G111" s="25">
        <f t="shared" si="7"/>
        <v>106.9</v>
      </c>
      <c r="H111" s="44" t="e">
        <f t="shared" si="8"/>
        <v>#DIV/0!</v>
      </c>
    </row>
    <row r="112" spans="1:10" s="28" customFormat="1" ht="37.5" customHeight="1">
      <c r="A112" s="198" t="s">
        <v>92</v>
      </c>
      <c r="B112" s="198"/>
      <c r="C112" s="37">
        <v>1035</v>
      </c>
      <c r="D112" s="4">
        <f>SUM(D113:D127)</f>
        <v>175.5</v>
      </c>
      <c r="E112" s="4">
        <f>SUM(E113:E127)</f>
        <v>383.9</v>
      </c>
      <c r="F112" s="4">
        <f>SUM(F113:F127)</f>
        <v>132.79999999999998</v>
      </c>
      <c r="G112" s="24">
        <f t="shared" si="7"/>
        <v>-251.1</v>
      </c>
      <c r="H112" s="24">
        <f t="shared" si="8"/>
        <v>34.592341755665537</v>
      </c>
      <c r="I112" s="28">
        <v>132.80000000000001</v>
      </c>
      <c r="J112" s="148"/>
    </row>
    <row r="113" spans="1:11" s="28" customFormat="1" ht="34.5" customHeight="1">
      <c r="A113" s="154"/>
      <c r="B113" s="13" t="s">
        <v>171</v>
      </c>
      <c r="C113" s="37"/>
      <c r="D113" s="5">
        <v>14.9</v>
      </c>
      <c r="E113" s="5">
        <v>63.7</v>
      </c>
      <c r="F113" s="5">
        <v>10.1</v>
      </c>
      <c r="G113" s="25">
        <f t="shared" si="7"/>
        <v>-53.6</v>
      </c>
      <c r="H113" s="25">
        <f t="shared" si="8"/>
        <v>15.855572998430139</v>
      </c>
    </row>
    <row r="114" spans="1:11" s="28" customFormat="1" ht="32.25" customHeight="1">
      <c r="A114" s="154"/>
      <c r="B114" s="13" t="s">
        <v>172</v>
      </c>
      <c r="C114" s="37"/>
      <c r="D114" s="5">
        <v>1.8</v>
      </c>
      <c r="E114" s="5">
        <v>4</v>
      </c>
      <c r="F114" s="5">
        <v>4.5999999999999996</v>
      </c>
      <c r="G114" s="25">
        <f t="shared" si="7"/>
        <v>0.59999999999999964</v>
      </c>
      <c r="H114" s="25">
        <f t="shared" si="8"/>
        <v>114.99999999999999</v>
      </c>
      <c r="K114" s="38"/>
    </row>
    <row r="115" spans="1:11" s="28" customFormat="1" ht="32.25" customHeight="1">
      <c r="A115" s="154"/>
      <c r="B115" s="13" t="s">
        <v>173</v>
      </c>
      <c r="C115" s="37"/>
      <c r="D115" s="5">
        <v>28.5</v>
      </c>
      <c r="E115" s="5">
        <v>107.8</v>
      </c>
      <c r="F115" s="5">
        <f>69.7+4</f>
        <v>73.7</v>
      </c>
      <c r="G115" s="25">
        <f t="shared" si="7"/>
        <v>-34.099999999999994</v>
      </c>
      <c r="H115" s="25">
        <f t="shared" si="8"/>
        <v>68.367346938775526</v>
      </c>
    </row>
    <row r="116" spans="1:11" s="28" customFormat="1" ht="32.25" customHeight="1">
      <c r="A116" s="154"/>
      <c r="B116" s="13" t="s">
        <v>169</v>
      </c>
      <c r="C116" s="37"/>
      <c r="D116" s="5">
        <v>7.7</v>
      </c>
      <c r="E116" s="5">
        <v>18</v>
      </c>
      <c r="F116" s="5"/>
      <c r="G116" s="25">
        <f t="shared" si="7"/>
        <v>-18</v>
      </c>
      <c r="H116" s="25">
        <f t="shared" si="8"/>
        <v>0</v>
      </c>
    </row>
    <row r="117" spans="1:11" s="28" customFormat="1" ht="32.25" customHeight="1">
      <c r="A117" s="154"/>
      <c r="B117" s="13" t="s">
        <v>684</v>
      </c>
      <c r="C117" s="37"/>
      <c r="D117" s="5"/>
      <c r="E117" s="5"/>
      <c r="F117" s="5">
        <f>17.1+6.9</f>
        <v>24</v>
      </c>
      <c r="G117" s="25">
        <f t="shared" si="7"/>
        <v>24</v>
      </c>
      <c r="H117" s="44" t="e">
        <f t="shared" si="8"/>
        <v>#DIV/0!</v>
      </c>
    </row>
    <row r="118" spans="1:11" s="28" customFormat="1" ht="37.5" customHeight="1">
      <c r="A118" s="154"/>
      <c r="B118" s="13" t="s">
        <v>266</v>
      </c>
      <c r="C118" s="37"/>
      <c r="D118" s="5">
        <v>3.3</v>
      </c>
      <c r="E118" s="5"/>
      <c r="F118" s="5"/>
      <c r="G118" s="25">
        <f t="shared" si="7"/>
        <v>0</v>
      </c>
      <c r="H118" s="44" t="e">
        <f t="shared" si="8"/>
        <v>#DIV/0!</v>
      </c>
    </row>
    <row r="119" spans="1:11" s="28" customFormat="1" ht="32.25" customHeight="1">
      <c r="A119" s="154"/>
      <c r="B119" s="13" t="s">
        <v>236</v>
      </c>
      <c r="C119" s="37"/>
      <c r="D119" s="5">
        <v>16.2</v>
      </c>
      <c r="E119" s="5"/>
      <c r="F119" s="5">
        <v>19.7</v>
      </c>
      <c r="G119" s="25">
        <f t="shared" si="7"/>
        <v>19.7</v>
      </c>
      <c r="H119" s="44" t="e">
        <f t="shared" si="8"/>
        <v>#DIV/0!</v>
      </c>
    </row>
    <row r="120" spans="1:11" s="28" customFormat="1" ht="30.75" customHeight="1">
      <c r="A120" s="154"/>
      <c r="B120" s="13" t="s">
        <v>215</v>
      </c>
      <c r="C120" s="37"/>
      <c r="D120" s="5"/>
      <c r="E120" s="5">
        <v>92</v>
      </c>
      <c r="F120" s="5"/>
      <c r="G120" s="25">
        <f t="shared" si="7"/>
        <v>-92</v>
      </c>
      <c r="H120" s="25">
        <f t="shared" si="8"/>
        <v>0</v>
      </c>
    </row>
    <row r="121" spans="1:11" s="28" customFormat="1" ht="32.25" customHeight="1">
      <c r="A121" s="154"/>
      <c r="B121" s="13" t="s">
        <v>268</v>
      </c>
      <c r="C121" s="37"/>
      <c r="D121" s="5">
        <v>0.3</v>
      </c>
      <c r="E121" s="5"/>
      <c r="F121" s="5">
        <v>0.7</v>
      </c>
      <c r="G121" s="25">
        <f t="shared" si="7"/>
        <v>0.7</v>
      </c>
      <c r="H121" s="44" t="e">
        <f t="shared" si="8"/>
        <v>#DIV/0!</v>
      </c>
    </row>
    <row r="122" spans="1:11" s="28" customFormat="1" ht="32.25" customHeight="1">
      <c r="A122" s="154"/>
      <c r="B122" s="13" t="s">
        <v>246</v>
      </c>
      <c r="C122" s="37"/>
      <c r="D122" s="5">
        <v>0.6</v>
      </c>
      <c r="E122" s="5"/>
      <c r="F122" s="5"/>
      <c r="G122" s="25">
        <f t="shared" si="7"/>
        <v>0</v>
      </c>
      <c r="H122" s="44" t="e">
        <f t="shared" si="8"/>
        <v>#DIV/0!</v>
      </c>
    </row>
    <row r="123" spans="1:11" s="28" customFormat="1" ht="37.5" customHeight="1">
      <c r="A123" s="154"/>
      <c r="B123" s="13" t="s">
        <v>269</v>
      </c>
      <c r="C123" s="37"/>
      <c r="D123" s="5">
        <v>1.2</v>
      </c>
      <c r="E123" s="5"/>
      <c r="F123" s="5"/>
      <c r="G123" s="25">
        <f t="shared" si="7"/>
        <v>0</v>
      </c>
      <c r="H123" s="44" t="e">
        <f t="shared" si="8"/>
        <v>#DIV/0!</v>
      </c>
    </row>
    <row r="124" spans="1:11" s="28" customFormat="1" ht="32.25" customHeight="1">
      <c r="A124" s="154"/>
      <c r="B124" s="13" t="s">
        <v>267</v>
      </c>
      <c r="C124" s="37"/>
      <c r="D124" s="5">
        <v>1.6</v>
      </c>
      <c r="E124" s="5"/>
      <c r="F124" s="5"/>
      <c r="G124" s="25">
        <f t="shared" si="7"/>
        <v>0</v>
      </c>
      <c r="H124" s="44" t="e">
        <f t="shared" si="8"/>
        <v>#DIV/0!</v>
      </c>
    </row>
    <row r="125" spans="1:11" s="28" customFormat="1" ht="32.25" customHeight="1">
      <c r="A125" s="154"/>
      <c r="B125" s="13" t="s">
        <v>253</v>
      </c>
      <c r="C125" s="37"/>
      <c r="D125" s="5">
        <v>0.4</v>
      </c>
      <c r="E125" s="5"/>
      <c r="F125" s="5"/>
      <c r="G125" s="25">
        <f t="shared" si="7"/>
        <v>0</v>
      </c>
      <c r="H125" s="44" t="e">
        <f t="shared" si="8"/>
        <v>#DIV/0!</v>
      </c>
    </row>
    <row r="126" spans="1:11" s="28" customFormat="1" ht="30" customHeight="1">
      <c r="A126" s="154"/>
      <c r="B126" s="13" t="s">
        <v>258</v>
      </c>
      <c r="C126" s="37"/>
      <c r="D126" s="5">
        <v>8.1999999999999993</v>
      </c>
      <c r="E126" s="5"/>
      <c r="F126" s="5"/>
      <c r="G126" s="25">
        <f t="shared" si="7"/>
        <v>0</v>
      </c>
      <c r="H126" s="44" t="e">
        <f t="shared" si="8"/>
        <v>#DIV/0!</v>
      </c>
    </row>
    <row r="127" spans="1:11" s="28" customFormat="1" ht="30" customHeight="1">
      <c r="A127" s="154"/>
      <c r="B127" s="13" t="s">
        <v>216</v>
      </c>
      <c r="C127" s="37"/>
      <c r="D127" s="5">
        <v>90.8</v>
      </c>
      <c r="E127" s="5">
        <v>98.4</v>
      </c>
      <c r="F127" s="4"/>
      <c r="G127" s="25">
        <f t="shared" si="7"/>
        <v>-98.4</v>
      </c>
      <c r="H127" s="25">
        <f t="shared" si="8"/>
        <v>0</v>
      </c>
    </row>
    <row r="128" spans="1:11">
      <c r="B128" s="26"/>
      <c r="D128" s="156"/>
      <c r="E128" s="27"/>
      <c r="F128" s="27"/>
    </row>
    <row r="129" spans="2:9" ht="24.75" customHeight="1">
      <c r="B129" s="150" t="s">
        <v>713</v>
      </c>
      <c r="C129" s="6"/>
      <c r="D129" s="202"/>
      <c r="E129" s="202"/>
      <c r="F129" s="199" t="s">
        <v>201</v>
      </c>
      <c r="G129" s="199"/>
      <c r="H129" s="199"/>
      <c r="I129" s="23"/>
    </row>
    <row r="130" spans="2:9">
      <c r="B130" s="155" t="s">
        <v>59</v>
      </c>
      <c r="C130" s="7"/>
      <c r="D130" s="200" t="s">
        <v>11</v>
      </c>
      <c r="E130" s="200"/>
      <c r="F130" s="200" t="s">
        <v>17</v>
      </c>
      <c r="G130" s="200"/>
      <c r="H130" s="200"/>
    </row>
    <row r="131" spans="2:9">
      <c r="B131" s="26"/>
      <c r="D131" s="156"/>
      <c r="E131" s="27"/>
      <c r="F131" s="27"/>
    </row>
    <row r="132" spans="2:9">
      <c r="B132" s="26"/>
      <c r="D132" s="156"/>
      <c r="E132" s="27"/>
      <c r="F132" s="27"/>
    </row>
    <row r="133" spans="2:9">
      <c r="B133" s="26"/>
      <c r="D133" s="156"/>
      <c r="E133" s="27"/>
      <c r="F133" s="27"/>
    </row>
    <row r="134" spans="2:9">
      <c r="B134" s="26"/>
      <c r="D134" s="156"/>
      <c r="E134" s="27"/>
      <c r="F134" s="27"/>
    </row>
    <row r="135" spans="2:9">
      <c r="B135" s="26"/>
      <c r="D135" s="156"/>
      <c r="E135" s="27"/>
      <c r="F135" s="27"/>
    </row>
    <row r="136" spans="2:9">
      <c r="B136" s="26"/>
      <c r="D136" s="156"/>
      <c r="E136" s="27"/>
      <c r="F136" s="27"/>
    </row>
    <row r="137" spans="2:9">
      <c r="B137" s="26"/>
      <c r="D137" s="156"/>
      <c r="E137" s="27"/>
      <c r="F137" s="27"/>
    </row>
    <row r="138" spans="2:9">
      <c r="B138" s="26"/>
      <c r="D138" s="156"/>
      <c r="E138" s="27"/>
      <c r="F138" s="27"/>
    </row>
    <row r="139" spans="2:9">
      <c r="B139" s="26"/>
      <c r="D139" s="156"/>
      <c r="E139" s="27"/>
      <c r="F139" s="27"/>
    </row>
    <row r="140" spans="2:9">
      <c r="B140" s="26"/>
      <c r="D140" s="156"/>
      <c r="E140" s="27"/>
      <c r="F140" s="27"/>
    </row>
    <row r="141" spans="2:9">
      <c r="B141" s="26"/>
      <c r="D141" s="156"/>
      <c r="E141" s="27"/>
      <c r="F141" s="27"/>
    </row>
    <row r="142" spans="2:9">
      <c r="B142" s="26"/>
      <c r="D142" s="156"/>
      <c r="E142" s="27"/>
      <c r="F142" s="27"/>
    </row>
    <row r="143" spans="2:9">
      <c r="B143" s="26"/>
      <c r="D143" s="156"/>
      <c r="E143" s="27"/>
      <c r="F143" s="27"/>
    </row>
    <row r="144" spans="2:9">
      <c r="B144" s="26"/>
      <c r="D144" s="156"/>
      <c r="E144" s="27"/>
      <c r="F144" s="27"/>
    </row>
    <row r="145" spans="2:6">
      <c r="B145" s="26"/>
      <c r="D145" s="156"/>
      <c r="E145" s="27"/>
      <c r="F145" s="27"/>
    </row>
    <row r="146" spans="2:6">
      <c r="B146" s="26"/>
      <c r="D146" s="156"/>
      <c r="E146" s="27"/>
      <c r="F146" s="27"/>
    </row>
    <row r="147" spans="2:6">
      <c r="B147" s="26"/>
      <c r="D147" s="156"/>
      <c r="E147" s="27"/>
      <c r="F147" s="27"/>
    </row>
    <row r="148" spans="2:6">
      <c r="B148" s="26"/>
      <c r="D148" s="156"/>
      <c r="E148" s="27"/>
      <c r="F148" s="27"/>
    </row>
    <row r="149" spans="2:6">
      <c r="B149" s="26"/>
      <c r="D149" s="156"/>
      <c r="E149" s="27"/>
      <c r="F149" s="27"/>
    </row>
    <row r="150" spans="2:6">
      <c r="B150" s="26"/>
      <c r="D150" s="156"/>
      <c r="E150" s="27"/>
      <c r="F150" s="27"/>
    </row>
    <row r="151" spans="2:6">
      <c r="B151" s="26"/>
      <c r="D151" s="156"/>
      <c r="E151" s="27"/>
      <c r="F151" s="27"/>
    </row>
    <row r="152" spans="2:6">
      <c r="B152" s="26"/>
      <c r="D152" s="156"/>
      <c r="E152" s="27"/>
      <c r="F152" s="27"/>
    </row>
    <row r="153" spans="2:6">
      <c r="B153" s="26"/>
      <c r="D153" s="156"/>
      <c r="E153" s="27"/>
      <c r="F153" s="27"/>
    </row>
    <row r="154" spans="2:6">
      <c r="B154" s="26"/>
      <c r="D154" s="156"/>
      <c r="E154" s="27"/>
      <c r="F154" s="27"/>
    </row>
    <row r="155" spans="2:6">
      <c r="B155" s="26"/>
      <c r="D155" s="156"/>
      <c r="E155" s="27"/>
      <c r="F155" s="27"/>
    </row>
    <row r="156" spans="2:6">
      <c r="B156" s="26"/>
      <c r="D156" s="156"/>
      <c r="E156" s="27"/>
      <c r="F156" s="27"/>
    </row>
    <row r="157" spans="2:6">
      <c r="B157" s="26"/>
      <c r="D157" s="156"/>
      <c r="E157" s="27"/>
      <c r="F157" s="27"/>
    </row>
    <row r="158" spans="2:6">
      <c r="B158" s="26"/>
      <c r="D158" s="156"/>
      <c r="E158" s="27"/>
      <c r="F158" s="27"/>
    </row>
    <row r="159" spans="2:6">
      <c r="B159" s="26"/>
      <c r="D159" s="156"/>
      <c r="E159" s="27"/>
      <c r="F159" s="27"/>
    </row>
    <row r="160" spans="2:6">
      <c r="B160" s="26"/>
      <c r="D160" s="156"/>
      <c r="E160" s="27"/>
      <c r="F160" s="27"/>
    </row>
    <row r="161" spans="2:6">
      <c r="B161" s="26"/>
      <c r="D161" s="156"/>
      <c r="E161" s="27"/>
      <c r="F161" s="27"/>
    </row>
    <row r="162" spans="2:6">
      <c r="B162" s="26"/>
      <c r="D162" s="156"/>
      <c r="E162" s="27"/>
      <c r="F162" s="27"/>
    </row>
    <row r="163" spans="2:6">
      <c r="B163" s="26"/>
      <c r="D163" s="156"/>
      <c r="E163" s="27"/>
      <c r="F163" s="27"/>
    </row>
    <row r="164" spans="2:6">
      <c r="B164" s="26"/>
      <c r="D164" s="156"/>
      <c r="E164" s="27"/>
      <c r="F164" s="27"/>
    </row>
    <row r="165" spans="2:6">
      <c r="B165" s="26"/>
      <c r="D165" s="156"/>
      <c r="E165" s="27"/>
      <c r="F165" s="27"/>
    </row>
    <row r="166" spans="2:6">
      <c r="B166" s="26"/>
      <c r="D166" s="156"/>
      <c r="E166" s="27"/>
      <c r="F166" s="27"/>
    </row>
    <row r="167" spans="2:6">
      <c r="B167" s="26"/>
      <c r="D167" s="156"/>
      <c r="E167" s="27"/>
      <c r="F167" s="27"/>
    </row>
    <row r="168" spans="2:6">
      <c r="B168" s="26"/>
      <c r="D168" s="156"/>
      <c r="E168" s="27"/>
      <c r="F168" s="27"/>
    </row>
    <row r="169" spans="2:6">
      <c r="B169" s="26"/>
      <c r="D169" s="156"/>
      <c r="E169" s="27"/>
      <c r="F169" s="27"/>
    </row>
    <row r="170" spans="2:6">
      <c r="B170" s="26"/>
      <c r="D170" s="156"/>
      <c r="E170" s="27"/>
      <c r="F170" s="27"/>
    </row>
    <row r="171" spans="2:6">
      <c r="B171" s="26"/>
      <c r="D171" s="156"/>
      <c r="E171" s="27"/>
      <c r="F171" s="27"/>
    </row>
    <row r="172" spans="2:6">
      <c r="B172" s="26"/>
      <c r="D172" s="156"/>
      <c r="E172" s="27"/>
      <c r="F172" s="27"/>
    </row>
    <row r="173" spans="2:6">
      <c r="B173" s="26"/>
      <c r="D173" s="156"/>
      <c r="E173" s="27"/>
      <c r="F173" s="27"/>
    </row>
    <row r="174" spans="2:6">
      <c r="B174" s="26"/>
      <c r="D174" s="156"/>
      <c r="E174" s="27"/>
      <c r="F174" s="27"/>
    </row>
    <row r="175" spans="2:6">
      <c r="B175" s="26"/>
      <c r="D175" s="156"/>
      <c r="E175" s="27"/>
      <c r="F175" s="27"/>
    </row>
    <row r="176" spans="2:6">
      <c r="B176" s="26"/>
      <c r="D176" s="156"/>
      <c r="E176" s="27"/>
      <c r="F176" s="27"/>
    </row>
    <row r="177" spans="2:6">
      <c r="B177" s="26"/>
      <c r="D177" s="156"/>
      <c r="E177" s="27"/>
      <c r="F177" s="27"/>
    </row>
    <row r="178" spans="2:6">
      <c r="B178" s="26"/>
      <c r="D178" s="156"/>
      <c r="E178" s="27"/>
      <c r="F178" s="27"/>
    </row>
    <row r="179" spans="2:6">
      <c r="B179" s="26"/>
      <c r="D179" s="156"/>
      <c r="E179" s="27"/>
      <c r="F179" s="27"/>
    </row>
    <row r="180" spans="2:6">
      <c r="B180" s="26"/>
      <c r="D180" s="156"/>
      <c r="E180" s="27"/>
      <c r="F180" s="27"/>
    </row>
    <row r="181" spans="2:6">
      <c r="B181" s="26"/>
      <c r="D181" s="156"/>
      <c r="E181" s="27"/>
      <c r="F181" s="27"/>
    </row>
    <row r="182" spans="2:6">
      <c r="B182" s="26"/>
      <c r="D182" s="156"/>
      <c r="E182" s="27"/>
      <c r="F182" s="27"/>
    </row>
    <row r="183" spans="2:6">
      <c r="B183" s="26"/>
      <c r="D183" s="156"/>
      <c r="E183" s="27"/>
      <c r="F183" s="27"/>
    </row>
    <row r="184" spans="2:6">
      <c r="B184" s="26"/>
      <c r="D184" s="156"/>
      <c r="E184" s="27"/>
      <c r="F184" s="27"/>
    </row>
    <row r="185" spans="2:6">
      <c r="B185" s="26"/>
    </row>
    <row r="186" spans="2:6">
      <c r="B186" s="35"/>
    </row>
    <row r="187" spans="2:6">
      <c r="B187" s="35"/>
    </row>
    <row r="188" spans="2:6">
      <c r="B188" s="35"/>
    </row>
    <row r="189" spans="2:6">
      <c r="B189" s="35"/>
    </row>
    <row r="190" spans="2:6">
      <c r="B190" s="35"/>
    </row>
    <row r="191" spans="2:6">
      <c r="B191" s="35"/>
    </row>
    <row r="192" spans="2:6">
      <c r="B192" s="35"/>
    </row>
    <row r="193" spans="2:2">
      <c r="B193" s="35"/>
    </row>
    <row r="194" spans="2:2">
      <c r="B194" s="35"/>
    </row>
    <row r="195" spans="2:2">
      <c r="B195" s="35"/>
    </row>
    <row r="196" spans="2:2">
      <c r="B196" s="35"/>
    </row>
    <row r="197" spans="2:2">
      <c r="B197" s="35"/>
    </row>
    <row r="198" spans="2:2">
      <c r="B198" s="35"/>
    </row>
    <row r="199" spans="2:2">
      <c r="B199" s="35"/>
    </row>
    <row r="200" spans="2:2">
      <c r="B200" s="35"/>
    </row>
    <row r="201" spans="2:2">
      <c r="B201" s="35"/>
    </row>
    <row r="202" spans="2:2">
      <c r="B202" s="35"/>
    </row>
    <row r="203" spans="2:2">
      <c r="B203" s="35"/>
    </row>
    <row r="204" spans="2:2">
      <c r="B204" s="35"/>
    </row>
    <row r="205" spans="2:2">
      <c r="B205" s="35"/>
    </row>
    <row r="206" spans="2:2">
      <c r="B206" s="35"/>
    </row>
    <row r="207" spans="2:2">
      <c r="B207" s="35"/>
    </row>
    <row r="208" spans="2:2">
      <c r="B208" s="35"/>
    </row>
    <row r="209" spans="2:2">
      <c r="B209" s="35"/>
    </row>
    <row r="210" spans="2:2">
      <c r="B210" s="35"/>
    </row>
    <row r="211" spans="2:2">
      <c r="B211" s="35"/>
    </row>
    <row r="212" spans="2:2">
      <c r="B212" s="35"/>
    </row>
    <row r="213" spans="2:2">
      <c r="B213" s="35"/>
    </row>
    <row r="214" spans="2:2">
      <c r="B214" s="35"/>
    </row>
    <row r="215" spans="2:2">
      <c r="B215" s="35"/>
    </row>
    <row r="216" spans="2:2">
      <c r="B216" s="35"/>
    </row>
    <row r="217" spans="2:2">
      <c r="B217" s="35"/>
    </row>
    <row r="218" spans="2:2">
      <c r="B218" s="35"/>
    </row>
    <row r="219" spans="2:2">
      <c r="B219" s="35"/>
    </row>
    <row r="220" spans="2:2">
      <c r="B220" s="35"/>
    </row>
    <row r="221" spans="2:2">
      <c r="B221" s="35"/>
    </row>
    <row r="222" spans="2:2">
      <c r="B222" s="35"/>
    </row>
    <row r="223" spans="2:2">
      <c r="B223" s="35"/>
    </row>
    <row r="224" spans="2:2">
      <c r="B224" s="35"/>
    </row>
    <row r="225" spans="2:2">
      <c r="B225" s="35"/>
    </row>
    <row r="226" spans="2:2">
      <c r="B226" s="35"/>
    </row>
    <row r="227" spans="2:2">
      <c r="B227" s="35"/>
    </row>
    <row r="228" spans="2:2">
      <c r="B228" s="35"/>
    </row>
    <row r="229" spans="2:2">
      <c r="B229" s="35"/>
    </row>
    <row r="230" spans="2:2">
      <c r="B230" s="35"/>
    </row>
    <row r="231" spans="2:2">
      <c r="B231" s="35"/>
    </row>
    <row r="232" spans="2:2">
      <c r="B232" s="35"/>
    </row>
    <row r="233" spans="2:2">
      <c r="B233" s="35"/>
    </row>
    <row r="234" spans="2:2">
      <c r="B234" s="35"/>
    </row>
    <row r="235" spans="2:2">
      <c r="B235" s="35"/>
    </row>
    <row r="236" spans="2:2">
      <c r="B236" s="35"/>
    </row>
    <row r="237" spans="2:2">
      <c r="B237" s="35"/>
    </row>
    <row r="238" spans="2:2">
      <c r="B238" s="35"/>
    </row>
    <row r="239" spans="2:2">
      <c r="B239" s="35"/>
    </row>
    <row r="240" spans="2:2">
      <c r="B240" s="35"/>
    </row>
    <row r="241" spans="2:2">
      <c r="B241" s="35"/>
    </row>
    <row r="242" spans="2:2">
      <c r="B242" s="35"/>
    </row>
    <row r="243" spans="2:2">
      <c r="B243" s="35"/>
    </row>
    <row r="244" spans="2:2">
      <c r="B244" s="35"/>
    </row>
    <row r="245" spans="2:2">
      <c r="B245" s="35"/>
    </row>
    <row r="246" spans="2:2">
      <c r="B246" s="35"/>
    </row>
    <row r="247" spans="2:2">
      <c r="B247" s="35"/>
    </row>
    <row r="248" spans="2:2">
      <c r="B248" s="35"/>
    </row>
    <row r="249" spans="2:2">
      <c r="B249" s="35"/>
    </row>
    <row r="250" spans="2:2">
      <c r="B250" s="35"/>
    </row>
    <row r="251" spans="2:2">
      <c r="B251" s="35"/>
    </row>
    <row r="252" spans="2:2">
      <c r="B252" s="35"/>
    </row>
    <row r="253" spans="2:2">
      <c r="B253" s="35"/>
    </row>
    <row r="254" spans="2:2">
      <c r="B254" s="35"/>
    </row>
    <row r="255" spans="2:2">
      <c r="B255" s="35"/>
    </row>
    <row r="256" spans="2:2">
      <c r="B256" s="35"/>
    </row>
    <row r="257" spans="2:2">
      <c r="B257" s="35"/>
    </row>
    <row r="258" spans="2:2">
      <c r="B258" s="35"/>
    </row>
    <row r="259" spans="2:2">
      <c r="B259" s="35"/>
    </row>
    <row r="260" spans="2:2">
      <c r="B260" s="35"/>
    </row>
    <row r="261" spans="2:2">
      <c r="B261" s="35"/>
    </row>
    <row r="262" spans="2:2">
      <c r="B262" s="35"/>
    </row>
    <row r="263" spans="2:2">
      <c r="B263" s="35"/>
    </row>
    <row r="264" spans="2:2">
      <c r="B264" s="35"/>
    </row>
    <row r="265" spans="2:2">
      <c r="B265" s="35"/>
    </row>
    <row r="266" spans="2:2">
      <c r="B266" s="35"/>
    </row>
    <row r="267" spans="2:2">
      <c r="B267" s="35"/>
    </row>
    <row r="268" spans="2:2">
      <c r="B268" s="35"/>
    </row>
    <row r="269" spans="2:2">
      <c r="B269" s="35"/>
    </row>
    <row r="270" spans="2:2">
      <c r="B270" s="35"/>
    </row>
    <row r="271" spans="2:2">
      <c r="B271" s="35"/>
    </row>
    <row r="272" spans="2:2">
      <c r="B272" s="35"/>
    </row>
    <row r="273" spans="2:2">
      <c r="B273" s="35"/>
    </row>
    <row r="274" spans="2:2">
      <c r="B274" s="35"/>
    </row>
    <row r="275" spans="2:2">
      <c r="B275" s="35"/>
    </row>
    <row r="276" spans="2:2">
      <c r="B276" s="35"/>
    </row>
    <row r="277" spans="2:2">
      <c r="B277" s="35"/>
    </row>
    <row r="278" spans="2:2">
      <c r="B278" s="35"/>
    </row>
    <row r="279" spans="2:2">
      <c r="B279" s="35"/>
    </row>
    <row r="280" spans="2:2">
      <c r="B280" s="35"/>
    </row>
    <row r="281" spans="2:2">
      <c r="B281" s="35"/>
    </row>
    <row r="282" spans="2:2">
      <c r="B282" s="35"/>
    </row>
    <row r="283" spans="2:2">
      <c r="B283" s="35"/>
    </row>
    <row r="284" spans="2:2">
      <c r="B284" s="35"/>
    </row>
    <row r="285" spans="2:2">
      <c r="B285" s="35"/>
    </row>
    <row r="286" spans="2:2">
      <c r="B286" s="35"/>
    </row>
    <row r="287" spans="2:2">
      <c r="B287" s="35"/>
    </row>
    <row r="288" spans="2:2">
      <c r="B288" s="35"/>
    </row>
    <row r="289" spans="2:2">
      <c r="B289" s="35"/>
    </row>
    <row r="290" spans="2:2">
      <c r="B290" s="35"/>
    </row>
    <row r="291" spans="2:2">
      <c r="B291" s="35"/>
    </row>
    <row r="292" spans="2:2">
      <c r="B292" s="35"/>
    </row>
    <row r="293" spans="2:2">
      <c r="B293" s="35"/>
    </row>
    <row r="294" spans="2:2">
      <c r="B294" s="35"/>
    </row>
    <row r="295" spans="2:2">
      <c r="B295" s="35"/>
    </row>
    <row r="296" spans="2:2">
      <c r="B296" s="35"/>
    </row>
    <row r="297" spans="2:2">
      <c r="B297" s="35"/>
    </row>
    <row r="298" spans="2:2">
      <c r="B298" s="35"/>
    </row>
    <row r="299" spans="2:2">
      <c r="B299" s="35"/>
    </row>
    <row r="300" spans="2:2">
      <c r="B300" s="35"/>
    </row>
    <row r="301" spans="2:2">
      <c r="B301" s="35"/>
    </row>
    <row r="302" spans="2:2">
      <c r="B302" s="35"/>
    </row>
    <row r="303" spans="2:2">
      <c r="B303" s="35"/>
    </row>
    <row r="304" spans="2:2">
      <c r="B304" s="35"/>
    </row>
    <row r="305" spans="2:2">
      <c r="B305" s="35"/>
    </row>
    <row r="306" spans="2:2">
      <c r="B306" s="35"/>
    </row>
    <row r="307" spans="2:2">
      <c r="B307" s="35"/>
    </row>
    <row r="308" spans="2:2">
      <c r="B308" s="35"/>
    </row>
    <row r="309" spans="2:2">
      <c r="B309" s="35"/>
    </row>
    <row r="310" spans="2:2">
      <c r="B310" s="35"/>
    </row>
    <row r="311" spans="2:2">
      <c r="B311" s="35"/>
    </row>
    <row r="312" spans="2:2">
      <c r="B312" s="35"/>
    </row>
    <row r="313" spans="2:2">
      <c r="B313" s="35"/>
    </row>
    <row r="314" spans="2:2">
      <c r="B314" s="35"/>
    </row>
    <row r="315" spans="2:2">
      <c r="B315" s="35"/>
    </row>
    <row r="316" spans="2:2">
      <c r="B316" s="35"/>
    </row>
    <row r="317" spans="2:2">
      <c r="B317" s="35"/>
    </row>
    <row r="318" spans="2:2">
      <c r="B318" s="35"/>
    </row>
    <row r="319" spans="2:2">
      <c r="B319" s="35"/>
    </row>
    <row r="320" spans="2:2">
      <c r="B320" s="35"/>
    </row>
    <row r="321" spans="2:2">
      <c r="B321" s="35"/>
    </row>
    <row r="322" spans="2:2">
      <c r="B322" s="35"/>
    </row>
    <row r="323" spans="2:2">
      <c r="B323" s="35"/>
    </row>
    <row r="324" spans="2:2">
      <c r="B324" s="35"/>
    </row>
    <row r="325" spans="2:2">
      <c r="B325" s="35"/>
    </row>
    <row r="326" spans="2:2">
      <c r="B326" s="35"/>
    </row>
    <row r="327" spans="2:2">
      <c r="B327" s="35"/>
    </row>
    <row r="328" spans="2:2">
      <c r="B328" s="35"/>
    </row>
    <row r="329" spans="2:2">
      <c r="B329" s="35"/>
    </row>
    <row r="330" spans="2:2">
      <c r="B330" s="35"/>
    </row>
    <row r="331" spans="2:2">
      <c r="B331" s="35"/>
    </row>
    <row r="332" spans="2:2">
      <c r="B332" s="35"/>
    </row>
    <row r="333" spans="2:2">
      <c r="B333" s="35"/>
    </row>
    <row r="334" spans="2:2">
      <c r="B334" s="35"/>
    </row>
    <row r="335" spans="2:2">
      <c r="B335" s="35"/>
    </row>
    <row r="336" spans="2:2">
      <c r="B336" s="35"/>
    </row>
    <row r="337" spans="2:2">
      <c r="B337" s="35"/>
    </row>
    <row r="338" spans="2:2">
      <c r="B338" s="35"/>
    </row>
    <row r="339" spans="2:2">
      <c r="B339" s="35"/>
    </row>
    <row r="340" spans="2:2">
      <c r="B340" s="35"/>
    </row>
    <row r="341" spans="2:2">
      <c r="B341" s="35"/>
    </row>
    <row r="342" spans="2:2">
      <c r="B342" s="35"/>
    </row>
    <row r="343" spans="2:2">
      <c r="B343" s="35"/>
    </row>
    <row r="344" spans="2:2">
      <c r="B344" s="35"/>
    </row>
    <row r="345" spans="2:2">
      <c r="B345" s="35"/>
    </row>
    <row r="346" spans="2:2">
      <c r="B346" s="35"/>
    </row>
    <row r="347" spans="2:2">
      <c r="B347" s="35"/>
    </row>
    <row r="348" spans="2:2">
      <c r="B348" s="35"/>
    </row>
    <row r="349" spans="2:2">
      <c r="B349" s="35"/>
    </row>
    <row r="350" spans="2:2">
      <c r="B350" s="35"/>
    </row>
    <row r="351" spans="2:2">
      <c r="B351" s="35"/>
    </row>
    <row r="352" spans="2:2">
      <c r="B352" s="35"/>
    </row>
  </sheetData>
  <mergeCells count="18">
    <mergeCell ref="A24:B24"/>
    <mergeCell ref="A22:B22"/>
    <mergeCell ref="A112:B112"/>
    <mergeCell ref="F129:H129"/>
    <mergeCell ref="F130:H130"/>
    <mergeCell ref="B2:F2"/>
    <mergeCell ref="D129:E129"/>
    <mergeCell ref="D130:E130"/>
    <mergeCell ref="A28:B28"/>
    <mergeCell ref="A29:B29"/>
    <mergeCell ref="A30:B30"/>
    <mergeCell ref="A45:B45"/>
    <mergeCell ref="A81:B81"/>
    <mergeCell ref="A82:B82"/>
    <mergeCell ref="A86:B86"/>
    <mergeCell ref="A6:B6"/>
    <mergeCell ref="A7:B7"/>
    <mergeCell ref="A12:B12"/>
  </mergeCells>
  <pageMargins left="0.39370078740157483" right="0.39370078740157483" top="0.78740157480314965" bottom="0.39370078740157483" header="0.31496062992125984" footer="0.31496062992125984"/>
  <pageSetup paperSize="9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3"/>
    <pageSetUpPr fitToPage="1"/>
  </sheetPr>
  <dimension ref="A2:Y586"/>
  <sheetViews>
    <sheetView view="pageBreakPreview" topLeftCell="A41" zoomScale="60" zoomScaleNormal="70" workbookViewId="0">
      <selection activeCell="K65" sqref="K65"/>
    </sheetView>
  </sheetViews>
  <sheetFormatPr defaultColWidth="9.140625" defaultRowHeight="18.75"/>
  <cols>
    <col min="1" max="1" width="10.42578125" style="49" customWidth="1"/>
    <col min="2" max="2" width="105.140625" style="49" customWidth="1"/>
    <col min="3" max="3" width="14.140625" style="89" customWidth="1"/>
    <col min="4" max="4" width="17.140625" style="89" customWidth="1"/>
    <col min="5" max="5" width="17.85546875" style="89" customWidth="1"/>
    <col min="6" max="6" width="17.140625" style="89" customWidth="1"/>
    <col min="7" max="7" width="17.5703125" style="49" customWidth="1"/>
    <col min="8" max="8" width="18.28515625" style="49" customWidth="1"/>
    <col min="9" max="9" width="15.140625" style="49" bestFit="1" customWidth="1"/>
    <col min="10" max="10" width="15.140625" style="257" customWidth="1"/>
    <col min="11" max="11" width="18.42578125" style="49" customWidth="1"/>
    <col min="12" max="12" width="14.140625" style="49" customWidth="1"/>
    <col min="13" max="13" width="16.28515625" style="49" bestFit="1" customWidth="1"/>
    <col min="14" max="14" width="14.28515625" style="49" bestFit="1" customWidth="1"/>
    <col min="15" max="15" width="19.7109375" style="89" customWidth="1"/>
    <col min="16" max="16" width="15.85546875" style="89" bestFit="1" customWidth="1"/>
    <col min="17" max="17" width="19.140625" style="89" customWidth="1"/>
    <col min="18" max="18" width="11.5703125" style="49" bestFit="1" customWidth="1"/>
    <col min="19" max="19" width="15.140625" style="49" bestFit="1" customWidth="1"/>
    <col min="20" max="20" width="13.7109375" style="49" bestFit="1" customWidth="1"/>
    <col min="21" max="22" width="10.28515625" style="49" bestFit="1" customWidth="1"/>
    <col min="23" max="23" width="13.85546875" style="49" bestFit="1" customWidth="1"/>
    <col min="24" max="24" width="17" style="49" customWidth="1"/>
    <col min="25" max="25" width="13.7109375" style="49" bestFit="1" customWidth="1"/>
    <col min="26" max="16384" width="9.140625" style="49"/>
  </cols>
  <sheetData>
    <row r="2" spans="1:25" ht="22.5" customHeight="1">
      <c r="B2" s="206" t="s">
        <v>117</v>
      </c>
      <c r="C2" s="206"/>
      <c r="D2" s="206"/>
      <c r="E2" s="206"/>
      <c r="F2" s="206"/>
      <c r="G2" s="206"/>
      <c r="H2" s="206"/>
    </row>
    <row r="3" spans="1:25">
      <c r="B3" s="50"/>
      <c r="C3" s="51"/>
      <c r="D3" s="50"/>
      <c r="E3" s="50"/>
      <c r="F3" s="50"/>
      <c r="H3" s="49" t="s">
        <v>64</v>
      </c>
    </row>
    <row r="4" spans="1:25" ht="72" customHeight="1">
      <c r="A4" s="58" t="s">
        <v>75</v>
      </c>
      <c r="B4" s="100" t="s">
        <v>23</v>
      </c>
      <c r="C4" s="55" t="s">
        <v>5</v>
      </c>
      <c r="D4" s="55" t="s">
        <v>470</v>
      </c>
      <c r="E4" s="55" t="s">
        <v>445</v>
      </c>
      <c r="F4" s="55" t="s">
        <v>471</v>
      </c>
      <c r="G4" s="55" t="s">
        <v>108</v>
      </c>
      <c r="H4" s="55" t="s">
        <v>111</v>
      </c>
      <c r="O4" s="86"/>
      <c r="P4" s="86"/>
      <c r="Q4" s="86"/>
    </row>
    <row r="5" spans="1:25" ht="24.75" customHeight="1">
      <c r="A5" s="144">
        <v>1</v>
      </c>
      <c r="B5" s="258">
        <v>2</v>
      </c>
      <c r="C5" s="55">
        <v>3</v>
      </c>
      <c r="D5" s="55">
        <v>4</v>
      </c>
      <c r="E5" s="55">
        <v>5</v>
      </c>
      <c r="F5" s="55">
        <v>6</v>
      </c>
      <c r="G5" s="58">
        <v>7</v>
      </c>
      <c r="H5" s="58">
        <v>8</v>
      </c>
      <c r="K5" s="66"/>
      <c r="O5" s="259"/>
      <c r="P5" s="259"/>
      <c r="Q5" s="259"/>
      <c r="Y5" s="66"/>
    </row>
    <row r="6" spans="1:25" ht="30.75" customHeight="1">
      <c r="A6" s="260" t="s">
        <v>83</v>
      </c>
      <c r="B6" s="260"/>
      <c r="C6" s="60"/>
      <c r="D6" s="261">
        <f>SUM(D7,D47,D52,D64,D128,D152,D182,D187,D214,D221,D226,D231,D238,D245,D253,D258,D288,D334,D339,D354,D344)</f>
        <v>91338.299999999974</v>
      </c>
      <c r="E6" s="261">
        <f>SUM(E7,E47,E52,E64,E128,E152,E182,E187,E214,E221,E226,E231,E238,E245,E253,E258,E288,E334,E339,E354)</f>
        <v>91201.800000000017</v>
      </c>
      <c r="F6" s="261">
        <f>SUM(F7,F47,F52,F64,F128,F152,F182,F187,F214,F221,F226,F231,F238,F245,F253,F258,F288,F334,F339,F354,F349)</f>
        <v>108508.1</v>
      </c>
      <c r="G6" s="262">
        <f t="shared" ref="G6:G69" si="0">F6-E6</f>
        <v>17306.299999999988</v>
      </c>
      <c r="H6" s="263">
        <f t="shared" ref="H6:H69" si="1">(F6/E6)*100</f>
        <v>118.97583161735841</v>
      </c>
      <c r="K6" s="66"/>
      <c r="N6" s="264"/>
      <c r="O6" s="265"/>
      <c r="P6" s="265"/>
      <c r="Q6" s="265"/>
      <c r="T6" s="66"/>
      <c r="V6" s="66"/>
    </row>
    <row r="7" spans="1:25" ht="46.5" customHeight="1">
      <c r="A7" s="60" t="s">
        <v>84</v>
      </c>
      <c r="B7" s="266" t="s">
        <v>118</v>
      </c>
      <c r="C7" s="60"/>
      <c r="D7" s="61">
        <f>D9+D33+D42</f>
        <v>69091.199999999997</v>
      </c>
      <c r="E7" s="61">
        <f>E9+E33+E42</f>
        <v>74331.200000000012</v>
      </c>
      <c r="F7" s="61">
        <f>F9+F33+F42</f>
        <v>84895.5</v>
      </c>
      <c r="G7" s="104">
        <f t="shared" si="0"/>
        <v>10564.299999999988</v>
      </c>
      <c r="H7" s="104">
        <f t="shared" si="1"/>
        <v>114.21247067180403</v>
      </c>
      <c r="I7" s="66">
        <f>F7+F245</f>
        <v>84944.5</v>
      </c>
      <c r="K7" s="66"/>
      <c r="N7" s="264"/>
      <c r="O7" s="267"/>
      <c r="P7" s="267"/>
      <c r="Q7" s="267"/>
      <c r="R7" s="87"/>
      <c r="Y7" s="66"/>
    </row>
    <row r="8" spans="1:25" ht="24.75" customHeight="1">
      <c r="A8" s="58"/>
      <c r="B8" s="268" t="s">
        <v>85</v>
      </c>
      <c r="C8" s="55"/>
      <c r="D8" s="64"/>
      <c r="E8" s="64"/>
      <c r="F8" s="64"/>
      <c r="G8" s="105"/>
      <c r="H8" s="105"/>
      <c r="N8" s="264"/>
      <c r="O8" s="267"/>
      <c r="P8" s="267"/>
      <c r="Q8" s="267"/>
      <c r="Y8" s="66"/>
    </row>
    <row r="9" spans="1:25" ht="30" customHeight="1">
      <c r="A9" s="269" t="s">
        <v>86</v>
      </c>
      <c r="B9" s="59" t="s">
        <v>89</v>
      </c>
      <c r="C9" s="60">
        <v>1010</v>
      </c>
      <c r="D9" s="61">
        <f>D10+D16+D17+D19+D18</f>
        <v>60757.2</v>
      </c>
      <c r="E9" s="61">
        <f>E10+E16+E17+E19+E18</f>
        <v>69869.600000000006</v>
      </c>
      <c r="F9" s="61">
        <f>F10+F16+F17+F19+F18</f>
        <v>78434.399999999994</v>
      </c>
      <c r="G9" s="104">
        <f t="shared" si="0"/>
        <v>8564.7999999999884</v>
      </c>
      <c r="H9" s="104">
        <f t="shared" si="1"/>
        <v>112.25826396601668</v>
      </c>
      <c r="I9" s="66"/>
      <c r="N9" s="264"/>
      <c r="O9" s="267"/>
      <c r="P9" s="267"/>
      <c r="Q9" s="267"/>
      <c r="R9" s="76"/>
      <c r="U9" s="66"/>
    </row>
    <row r="10" spans="1:25" ht="34.5" customHeight="1">
      <c r="A10" s="270" t="s">
        <v>135</v>
      </c>
      <c r="B10" s="271" t="s">
        <v>105</v>
      </c>
      <c r="C10" s="272">
        <v>1011</v>
      </c>
      <c r="D10" s="80">
        <f>SUM(D11:D15)</f>
        <v>6006.7</v>
      </c>
      <c r="E10" s="80">
        <f>SUM(E11:E15)</f>
        <v>7365</v>
      </c>
      <c r="F10" s="80">
        <f>SUM(F11:F15)</f>
        <v>5791.7</v>
      </c>
      <c r="G10" s="273">
        <f t="shared" si="0"/>
        <v>-1573.3000000000002</v>
      </c>
      <c r="H10" s="273">
        <f t="shared" si="1"/>
        <v>78.63815342837745</v>
      </c>
      <c r="K10" s="274">
        <f>K11+K18+K25</f>
        <v>91338.299999999988</v>
      </c>
      <c r="L10" s="264">
        <f t="shared" ref="L10:M10" si="2">L11+L18+L25</f>
        <v>91201.8</v>
      </c>
      <c r="M10" s="264">
        <f t="shared" si="2"/>
        <v>108508.09999999999</v>
      </c>
      <c r="N10" s="264"/>
      <c r="O10" s="267"/>
      <c r="P10" s="267"/>
      <c r="Q10" s="267"/>
      <c r="R10" s="76"/>
      <c r="T10" s="66"/>
      <c r="X10" s="66"/>
    </row>
    <row r="11" spans="1:25" ht="26.25" customHeight="1">
      <c r="A11" s="275"/>
      <c r="B11" s="167" t="s">
        <v>136</v>
      </c>
      <c r="C11" s="276"/>
      <c r="D11" s="64">
        <v>5574.7</v>
      </c>
      <c r="E11" s="64">
        <v>6517.2</v>
      </c>
      <c r="F11" s="64">
        <f>5228.3</f>
        <v>5228.3</v>
      </c>
      <c r="G11" s="105">
        <f t="shared" si="0"/>
        <v>-1288.8999999999996</v>
      </c>
      <c r="H11" s="105">
        <f t="shared" si="1"/>
        <v>80.223101945620826</v>
      </c>
      <c r="J11" s="257">
        <v>1010</v>
      </c>
      <c r="K11" s="277">
        <f>SUM(D9,D49,D54,D66,D130,D154,D184,D189,D216,D223,D228,D247,D260,D290,D336,D356,D346)</f>
        <v>82013.899999999994</v>
      </c>
      <c r="L11" s="76">
        <f>SUM(E9,E49,E54,E66,E130,E154,E184,E189,E216,E223,E228,E247,E260,E290,E336,E356)</f>
        <v>86073.400000000009</v>
      </c>
      <c r="M11" s="277">
        <f>SUM(F9,F49,F54,F66,F130,F154,F184,F189,F216,F223,F228,F247,F260,F290,F336,F356,F351)</f>
        <v>100085.9</v>
      </c>
      <c r="N11" s="264"/>
      <c r="O11" s="267"/>
      <c r="P11" s="267"/>
      <c r="Q11" s="267"/>
      <c r="R11" s="87"/>
    </row>
    <row r="12" spans="1:25" ht="25.5" customHeight="1">
      <c r="A12" s="275"/>
      <c r="B12" s="167" t="s">
        <v>137</v>
      </c>
      <c r="C12" s="276"/>
      <c r="D12" s="64">
        <v>394.7</v>
      </c>
      <c r="E12" s="64">
        <v>700</v>
      </c>
      <c r="F12" s="64">
        <v>309.89999999999998</v>
      </c>
      <c r="G12" s="105">
        <f t="shared" si="0"/>
        <v>-390.1</v>
      </c>
      <c r="H12" s="105">
        <f t="shared" si="1"/>
        <v>44.271428571428565</v>
      </c>
      <c r="J12" s="257">
        <v>1011</v>
      </c>
      <c r="K12" s="87">
        <f>SUM(D10,D55,D67,D131,D155,D190,D217,D261,D291,D337,D347)</f>
        <v>16330.200000000003</v>
      </c>
      <c r="L12" s="49">
        <f t="shared" ref="L12:M12" si="3">SUM(E10,E55,E67,E131,E155,E190,E217,E261,E291,E337,)</f>
        <v>13093.5</v>
      </c>
      <c r="M12" s="49">
        <f t="shared" si="3"/>
        <v>15711.699999999999</v>
      </c>
      <c r="N12" s="264"/>
      <c r="O12" s="267"/>
      <c r="P12" s="267"/>
      <c r="Q12" s="267"/>
      <c r="R12" s="76"/>
      <c r="S12" s="66"/>
    </row>
    <row r="13" spans="1:25" ht="24.75" customHeight="1">
      <c r="A13" s="275"/>
      <c r="B13" s="167" t="s">
        <v>138</v>
      </c>
      <c r="C13" s="276"/>
      <c r="D13" s="64"/>
      <c r="E13" s="64">
        <v>60</v>
      </c>
      <c r="F13" s="64"/>
      <c r="G13" s="105">
        <f t="shared" si="0"/>
        <v>-60</v>
      </c>
      <c r="H13" s="105">
        <f t="shared" si="1"/>
        <v>0</v>
      </c>
      <c r="J13" s="257">
        <v>1012</v>
      </c>
      <c r="K13" s="87">
        <f>SUM(D16,D50,D74,D137,D185,D200,)</f>
        <v>46545.700000000004</v>
      </c>
      <c r="L13" s="49">
        <f t="shared" ref="L13" si="4">SUM(E16,E50,E74,E137,E185,E200,)</f>
        <v>50440.1</v>
      </c>
      <c r="M13" s="87">
        <f>SUM(F16,F50,F74,F137,F185,F200,F352)</f>
        <v>59858.299999999996</v>
      </c>
      <c r="N13" s="264"/>
      <c r="O13" s="267"/>
      <c r="P13" s="267"/>
      <c r="Q13" s="267"/>
    </row>
    <row r="14" spans="1:25" ht="31.5" customHeight="1">
      <c r="A14" s="275"/>
      <c r="B14" s="167" t="s">
        <v>245</v>
      </c>
      <c r="C14" s="276"/>
      <c r="D14" s="64">
        <v>37.299999999999997</v>
      </c>
      <c r="E14" s="64">
        <v>87.8</v>
      </c>
      <c r="F14" s="64">
        <f>8.8+1.3+25.3</f>
        <v>35.400000000000006</v>
      </c>
      <c r="G14" s="105">
        <f t="shared" si="0"/>
        <v>-52.399999999999991</v>
      </c>
      <c r="H14" s="105">
        <f t="shared" si="1"/>
        <v>40.318906605922564</v>
      </c>
      <c r="J14" s="257">
        <v>1013</v>
      </c>
      <c r="K14" s="87">
        <f>SUM(D17,D51,D75,D138,D186,D201,)</f>
        <v>9812.1</v>
      </c>
      <c r="L14" s="49">
        <f t="shared" ref="L14" si="5">SUM(E17,E51,E75,E138,E186,E201,)</f>
        <v>10845</v>
      </c>
      <c r="M14" s="87">
        <f>SUM(F17,F51,F75,F138,F186,F201,F353)</f>
        <v>12631.7</v>
      </c>
      <c r="N14" s="264"/>
      <c r="O14" s="265"/>
      <c r="P14" s="265"/>
      <c r="Q14" s="265"/>
      <c r="W14" s="66"/>
    </row>
    <row r="15" spans="1:25" ht="39.75" customHeight="1">
      <c r="A15" s="275"/>
      <c r="B15" s="84" t="s">
        <v>161</v>
      </c>
      <c r="C15" s="276"/>
      <c r="D15" s="64"/>
      <c r="E15" s="64">
        <v>0</v>
      </c>
      <c r="F15" s="64">
        <f>28.7+18.2+170.5+0.7</f>
        <v>218.1</v>
      </c>
      <c r="G15" s="105">
        <f t="shared" si="0"/>
        <v>218.1</v>
      </c>
      <c r="H15" s="278" t="e">
        <f t="shared" si="1"/>
        <v>#DIV/0!</v>
      </c>
      <c r="J15" s="257">
        <v>1014</v>
      </c>
      <c r="K15" s="87">
        <f>SUM(D18,D76,D298,D357)</f>
        <v>1829.3999999999999</v>
      </c>
      <c r="L15" s="49">
        <f>SUM(E18,E76,E298,E357)</f>
        <v>0</v>
      </c>
      <c r="M15" s="49">
        <f>SUM(F18,F76,F298,F357)</f>
        <v>2466.8000000000002</v>
      </c>
      <c r="N15" s="264"/>
      <c r="O15" s="265"/>
      <c r="P15" s="265"/>
      <c r="Q15" s="265"/>
    </row>
    <row r="16" spans="1:25" ht="27.75" customHeight="1">
      <c r="A16" s="270" t="s">
        <v>139</v>
      </c>
      <c r="B16" s="271" t="s">
        <v>2</v>
      </c>
      <c r="C16" s="279">
        <v>1012</v>
      </c>
      <c r="D16" s="80">
        <v>44183</v>
      </c>
      <c r="E16" s="80">
        <v>50020</v>
      </c>
      <c r="F16" s="80">
        <f>59885-254.3-289.4-111.5</f>
        <v>59229.799999999996</v>
      </c>
      <c r="G16" s="273">
        <f t="shared" si="0"/>
        <v>9209.7999999999956</v>
      </c>
      <c r="H16" s="273">
        <f t="shared" si="1"/>
        <v>118.41223510595759</v>
      </c>
      <c r="J16" s="257">
        <v>1015</v>
      </c>
      <c r="K16" s="87">
        <f>SUM(D19,D61,D77,D139,D159,D202,D224,D229,D248,D268,D299,)</f>
        <v>7496.5</v>
      </c>
      <c r="L16" s="49">
        <f t="shared" ref="L16:M16" si="6">SUM(E19,E61,E77,E139,E159,E202,E224,E229,E248,E268,E299,)</f>
        <v>11694.800000000001</v>
      </c>
      <c r="M16" s="49">
        <f t="shared" si="6"/>
        <v>9417.4</v>
      </c>
      <c r="N16" s="264"/>
      <c r="O16" s="267"/>
      <c r="P16" s="267"/>
      <c r="Q16" s="267"/>
    </row>
    <row r="17" spans="1:24" ht="24.75" customHeight="1">
      <c r="A17" s="270" t="s">
        <v>140</v>
      </c>
      <c r="B17" s="271" t="s">
        <v>3</v>
      </c>
      <c r="C17" s="279">
        <v>1013</v>
      </c>
      <c r="D17" s="80">
        <v>9320.9</v>
      </c>
      <c r="E17" s="80">
        <v>10754.3</v>
      </c>
      <c r="F17" s="80">
        <f>12584.1-81.6-31.5</f>
        <v>12471</v>
      </c>
      <c r="G17" s="273">
        <f t="shared" si="0"/>
        <v>1716.7000000000007</v>
      </c>
      <c r="H17" s="273">
        <f t="shared" si="1"/>
        <v>115.96291715871791</v>
      </c>
      <c r="N17" s="264"/>
      <c r="O17" s="267"/>
      <c r="P17" s="267"/>
      <c r="Q17" s="267"/>
    </row>
    <row r="18" spans="1:24" ht="30" customHeight="1">
      <c r="A18" s="270" t="s">
        <v>141</v>
      </c>
      <c r="B18" s="271" t="s">
        <v>4</v>
      </c>
      <c r="C18" s="279">
        <v>1014</v>
      </c>
      <c r="D18" s="80">
        <v>15.2</v>
      </c>
      <c r="E18" s="80"/>
      <c r="F18" s="80">
        <v>83.4</v>
      </c>
      <c r="G18" s="273">
        <f t="shared" si="0"/>
        <v>83.4</v>
      </c>
      <c r="H18" s="280" t="e">
        <f t="shared" si="1"/>
        <v>#DIV/0!</v>
      </c>
      <c r="I18" s="281"/>
      <c r="J18" s="257">
        <v>1020</v>
      </c>
      <c r="K18" s="277">
        <f>SUM(D33,D104,D166,D208,D250,D280,D319,D359)</f>
        <v>8669.9000000000015</v>
      </c>
      <c r="L18" s="76">
        <f>SUM(E33,E104,E166,E208,E250,E280,E319,E359)</f>
        <v>4744.5</v>
      </c>
      <c r="M18" s="76">
        <f>SUM(F33,F104,F166,F208,F250,F280,F319,F359)</f>
        <v>7448</v>
      </c>
      <c r="N18" s="264"/>
      <c r="O18" s="267"/>
      <c r="P18" s="267"/>
      <c r="Q18" s="267"/>
    </row>
    <row r="19" spans="1:24" ht="30" customHeight="1">
      <c r="A19" s="270" t="s">
        <v>142</v>
      </c>
      <c r="B19" s="271" t="s">
        <v>143</v>
      </c>
      <c r="C19" s="279">
        <v>1015</v>
      </c>
      <c r="D19" s="80">
        <f>SUM(D20:D32)</f>
        <v>1231.4000000000003</v>
      </c>
      <c r="E19" s="80">
        <f>SUM(E20:E32)</f>
        <v>1730.3000000000002</v>
      </c>
      <c r="F19" s="80">
        <f>SUM(F20:F32)</f>
        <v>858.5</v>
      </c>
      <c r="G19" s="273">
        <f t="shared" si="0"/>
        <v>-871.80000000000018</v>
      </c>
      <c r="H19" s="273">
        <f t="shared" si="1"/>
        <v>49.615673582615727</v>
      </c>
      <c r="J19" s="257">
        <v>1021</v>
      </c>
      <c r="K19" s="87">
        <f>SUM(D105,D320,)</f>
        <v>83.5</v>
      </c>
      <c r="L19" s="49">
        <f t="shared" ref="L19:M19" si="7">SUM(E105,E320,)</f>
        <v>52</v>
      </c>
      <c r="M19" s="49">
        <f t="shared" si="7"/>
        <v>35.700000000000003</v>
      </c>
      <c r="N19" s="264"/>
      <c r="O19" s="267"/>
      <c r="P19" s="267"/>
      <c r="Q19" s="267"/>
      <c r="R19" s="87"/>
      <c r="X19" s="87"/>
    </row>
    <row r="20" spans="1:24" ht="30.75" customHeight="1">
      <c r="A20" s="282"/>
      <c r="B20" s="168" t="s">
        <v>144</v>
      </c>
      <c r="C20" s="283"/>
      <c r="D20" s="79">
        <v>16.600000000000001</v>
      </c>
      <c r="E20" s="79">
        <v>19.2</v>
      </c>
      <c r="F20" s="79">
        <f>17.1+15.7</f>
        <v>32.799999999999997</v>
      </c>
      <c r="G20" s="105">
        <f t="shared" si="0"/>
        <v>13.599999999999998</v>
      </c>
      <c r="H20" s="105">
        <f t="shared" si="1"/>
        <v>170.83333333333331</v>
      </c>
      <c r="J20" s="257">
        <v>1022</v>
      </c>
      <c r="K20" s="284">
        <f>SUM(D34,)</f>
        <v>6402.3</v>
      </c>
      <c r="L20" s="49">
        <f t="shared" ref="L20:M20" si="8">SUM(E34,)</f>
        <v>3624</v>
      </c>
      <c r="M20" s="49">
        <f t="shared" si="8"/>
        <v>4420.7</v>
      </c>
      <c r="N20" s="264"/>
      <c r="O20" s="267"/>
      <c r="P20" s="267"/>
      <c r="Q20" s="267"/>
      <c r="R20" s="76"/>
    </row>
    <row r="21" spans="1:24" ht="27.75" customHeight="1">
      <c r="A21" s="282"/>
      <c r="B21" s="167" t="s">
        <v>145</v>
      </c>
      <c r="C21" s="283"/>
      <c r="D21" s="79">
        <v>226.5</v>
      </c>
      <c r="E21" s="79">
        <v>320</v>
      </c>
      <c r="F21" s="79">
        <f>41.9+39.6+32.4+58.5</f>
        <v>172.4</v>
      </c>
      <c r="G21" s="105">
        <f t="shared" si="0"/>
        <v>-147.6</v>
      </c>
      <c r="H21" s="105">
        <f t="shared" si="1"/>
        <v>53.875000000000007</v>
      </c>
      <c r="J21" s="257">
        <v>1023</v>
      </c>
      <c r="K21" s="87">
        <f>SUM(D35)</f>
        <v>1417.8</v>
      </c>
      <c r="L21" s="49">
        <f t="shared" ref="L21:M21" si="9">SUM(E35)</f>
        <v>779.2</v>
      </c>
      <c r="M21" s="49">
        <f t="shared" si="9"/>
        <v>906.5</v>
      </c>
      <c r="N21" s="264"/>
      <c r="O21" s="267"/>
      <c r="P21" s="267"/>
      <c r="Q21" s="267"/>
    </row>
    <row r="22" spans="1:24" ht="27.75" customHeight="1">
      <c r="A22" s="282"/>
      <c r="B22" s="167" t="s">
        <v>146</v>
      </c>
      <c r="C22" s="283"/>
      <c r="D22" s="79">
        <v>47.4</v>
      </c>
      <c r="E22" s="79">
        <v>100</v>
      </c>
      <c r="F22" s="79">
        <f>48.9+10.7+13.3</f>
        <v>72.899999999999991</v>
      </c>
      <c r="G22" s="105">
        <f t="shared" si="0"/>
        <v>-27.100000000000009</v>
      </c>
      <c r="H22" s="105">
        <f t="shared" si="1"/>
        <v>72.899999999999991</v>
      </c>
      <c r="J22" s="257">
        <v>1024</v>
      </c>
      <c r="K22" s="285">
        <f>SUM(D360)</f>
        <v>245.1</v>
      </c>
      <c r="L22" s="49">
        <f t="shared" ref="L22:M22" si="10">SUM(E360)</f>
        <v>0</v>
      </c>
      <c r="M22" s="49">
        <f t="shared" si="10"/>
        <v>1297.7</v>
      </c>
      <c r="N22" s="264"/>
      <c r="O22" s="265"/>
      <c r="P22" s="265"/>
      <c r="Q22" s="265"/>
    </row>
    <row r="23" spans="1:24" ht="30" customHeight="1">
      <c r="A23" s="282"/>
      <c r="B23" s="167" t="s">
        <v>147</v>
      </c>
      <c r="C23" s="283"/>
      <c r="D23" s="79">
        <v>32.799999999999997</v>
      </c>
      <c r="E23" s="79">
        <v>49.5</v>
      </c>
      <c r="F23" s="79">
        <f>3.5+12.5+14+11.5</f>
        <v>41.5</v>
      </c>
      <c r="G23" s="105">
        <f t="shared" si="0"/>
        <v>-8</v>
      </c>
      <c r="H23" s="105">
        <f t="shared" si="1"/>
        <v>83.838383838383834</v>
      </c>
      <c r="J23" s="257">
        <v>1025</v>
      </c>
      <c r="K23" s="87">
        <f>SUM(D36,D109,D167,D209,D251,D281,D323)</f>
        <v>521.20000000000005</v>
      </c>
      <c r="L23" s="49">
        <f t="shared" ref="L23:M23" si="11">SUM(E36,E109,E167,E209,E251,E281,E323)</f>
        <v>289.3</v>
      </c>
      <c r="M23" s="49">
        <f t="shared" si="11"/>
        <v>787.4</v>
      </c>
      <c r="N23" s="264"/>
      <c r="O23" s="267"/>
      <c r="P23" s="267"/>
      <c r="Q23" s="267"/>
    </row>
    <row r="24" spans="1:24" ht="28.5" customHeight="1">
      <c r="A24" s="282"/>
      <c r="B24" s="167" t="s">
        <v>148</v>
      </c>
      <c r="C24" s="283"/>
      <c r="D24" s="79">
        <v>273.60000000000002</v>
      </c>
      <c r="E24" s="79">
        <v>470</v>
      </c>
      <c r="F24" s="79">
        <f>63.4+81.1+6+59.3</f>
        <v>209.8</v>
      </c>
      <c r="G24" s="105">
        <f t="shared" si="0"/>
        <v>-260.2</v>
      </c>
      <c r="H24" s="105">
        <f t="shared" si="1"/>
        <v>44.638297872340424</v>
      </c>
    </row>
    <row r="25" spans="1:24" ht="29.25" customHeight="1">
      <c r="A25" s="282"/>
      <c r="B25" s="167" t="s">
        <v>149</v>
      </c>
      <c r="C25" s="283" t="s">
        <v>240</v>
      </c>
      <c r="D25" s="79">
        <v>547.4</v>
      </c>
      <c r="E25" s="79">
        <v>631.70000000000005</v>
      </c>
      <c r="F25" s="79">
        <f>54.5+56.6-34.3+10+11.2+25.9+31.6-46</f>
        <v>109.5</v>
      </c>
      <c r="G25" s="105">
        <f t="shared" si="0"/>
        <v>-522.20000000000005</v>
      </c>
      <c r="H25" s="105">
        <f t="shared" si="1"/>
        <v>17.334177615956943</v>
      </c>
      <c r="J25" s="257">
        <v>1030</v>
      </c>
      <c r="K25" s="277">
        <f>SUM(D42,D123,D148,D177,D233,D240,D255,D285,D341)</f>
        <v>654.50000000000011</v>
      </c>
      <c r="L25" s="76">
        <f t="shared" ref="L25:M25" si="12">SUM(E42,E123,E148,E177,E233,E240,E255,E285,E341)</f>
        <v>383.9</v>
      </c>
      <c r="M25" s="76">
        <f t="shared" si="12"/>
        <v>974.2</v>
      </c>
      <c r="N25" s="264"/>
      <c r="O25" s="267"/>
      <c r="P25" s="267"/>
      <c r="Q25" s="267"/>
    </row>
    <row r="26" spans="1:24" ht="26.25" customHeight="1">
      <c r="A26" s="282"/>
      <c r="B26" s="167" t="s">
        <v>150</v>
      </c>
      <c r="C26" s="283"/>
      <c r="D26" s="79">
        <v>22.5</v>
      </c>
      <c r="E26" s="79">
        <v>78.7</v>
      </c>
      <c r="F26" s="79">
        <v>30.1</v>
      </c>
      <c r="G26" s="105">
        <f t="shared" si="0"/>
        <v>-48.6</v>
      </c>
      <c r="H26" s="105">
        <f t="shared" si="1"/>
        <v>38.246505717916136</v>
      </c>
      <c r="J26" s="257">
        <v>1031</v>
      </c>
      <c r="N26" s="264"/>
      <c r="O26" s="267"/>
      <c r="P26" s="267"/>
      <c r="Q26" s="267"/>
    </row>
    <row r="27" spans="1:24" ht="28.5" customHeight="1">
      <c r="A27" s="282"/>
      <c r="B27" s="167" t="s">
        <v>164</v>
      </c>
      <c r="C27" s="283"/>
      <c r="D27" s="79"/>
      <c r="E27" s="79"/>
      <c r="F27" s="79">
        <f>61.9</f>
        <v>61.9</v>
      </c>
      <c r="G27" s="105">
        <f t="shared" si="0"/>
        <v>61.9</v>
      </c>
      <c r="H27" s="278" t="e">
        <f t="shared" si="1"/>
        <v>#DIV/0!</v>
      </c>
      <c r="J27" s="257">
        <v>1032</v>
      </c>
      <c r="K27" s="87">
        <f>SUM(D43,)</f>
        <v>335.1</v>
      </c>
      <c r="L27" s="49">
        <f t="shared" ref="L27:M27" si="13">SUM(E43,)</f>
        <v>0</v>
      </c>
      <c r="M27" s="49">
        <f t="shared" si="13"/>
        <v>659.4</v>
      </c>
      <c r="N27" s="264"/>
      <c r="O27" s="267"/>
      <c r="P27" s="267"/>
      <c r="Q27" s="267"/>
    </row>
    <row r="28" spans="1:24" ht="27.75" customHeight="1">
      <c r="A28" s="282"/>
      <c r="B28" s="168" t="s">
        <v>151</v>
      </c>
      <c r="C28" s="283"/>
      <c r="D28" s="79">
        <v>48.9</v>
      </c>
      <c r="E28" s="79">
        <v>38.4</v>
      </c>
      <c r="F28" s="79">
        <f>23.2+15.5</f>
        <v>38.700000000000003</v>
      </c>
      <c r="G28" s="105">
        <f t="shared" si="0"/>
        <v>0.30000000000000426</v>
      </c>
      <c r="H28" s="105">
        <f t="shared" si="1"/>
        <v>100.78125000000003</v>
      </c>
      <c r="J28" s="257">
        <v>1033</v>
      </c>
      <c r="K28" s="87">
        <f>SUM(D44)</f>
        <v>143.9</v>
      </c>
      <c r="L28" s="49">
        <f t="shared" ref="L28:M28" si="14">SUM(E44)</f>
        <v>0</v>
      </c>
      <c r="M28" s="49">
        <f t="shared" si="14"/>
        <v>182</v>
      </c>
      <c r="N28" s="264"/>
      <c r="O28" s="267"/>
      <c r="P28" s="267"/>
      <c r="Q28" s="267"/>
    </row>
    <row r="29" spans="1:24" ht="27.75" customHeight="1">
      <c r="A29" s="282"/>
      <c r="B29" s="168" t="s">
        <v>213</v>
      </c>
      <c r="C29" s="283"/>
      <c r="D29" s="79"/>
      <c r="E29" s="79"/>
      <c r="F29" s="79">
        <v>66.5</v>
      </c>
      <c r="G29" s="105">
        <f t="shared" si="0"/>
        <v>66.5</v>
      </c>
      <c r="H29" s="278" t="e">
        <f t="shared" si="1"/>
        <v>#DIV/0!</v>
      </c>
      <c r="J29" s="257">
        <v>1034</v>
      </c>
      <c r="N29" s="264"/>
      <c r="O29" s="267"/>
      <c r="P29" s="267"/>
      <c r="Q29" s="267"/>
    </row>
    <row r="30" spans="1:24" ht="27.75" customHeight="1">
      <c r="A30" s="282"/>
      <c r="B30" s="168" t="s">
        <v>599</v>
      </c>
      <c r="C30" s="286"/>
      <c r="D30" s="287"/>
      <c r="E30" s="287"/>
      <c r="F30" s="79">
        <v>4.8</v>
      </c>
      <c r="G30" s="105">
        <f t="shared" si="0"/>
        <v>4.8</v>
      </c>
      <c r="H30" s="278" t="e">
        <f t="shared" si="1"/>
        <v>#DIV/0!</v>
      </c>
      <c r="J30" s="257">
        <v>1035</v>
      </c>
      <c r="K30" s="87">
        <f>SUM(D45,D124,D149,D178,D234,D241,D256,D286,D342)</f>
        <v>175.5</v>
      </c>
      <c r="L30" s="49">
        <f t="shared" ref="L30:M30" si="15">SUM(E45,E124,E149,E178,E234,E241,E256,E286,E342)</f>
        <v>383.9</v>
      </c>
      <c r="M30" s="49">
        <f t="shared" si="15"/>
        <v>132.80000000000001</v>
      </c>
      <c r="N30" s="264"/>
      <c r="O30" s="267"/>
      <c r="P30" s="267"/>
      <c r="Q30" s="267"/>
    </row>
    <row r="31" spans="1:24" ht="27.75" customHeight="1">
      <c r="A31" s="282"/>
      <c r="B31" s="168" t="s">
        <v>600</v>
      </c>
      <c r="C31" s="286"/>
      <c r="D31" s="287"/>
      <c r="E31" s="287"/>
      <c r="F31" s="79">
        <v>16</v>
      </c>
      <c r="G31" s="105">
        <f t="shared" si="0"/>
        <v>16</v>
      </c>
      <c r="H31" s="278" t="e">
        <f t="shared" si="1"/>
        <v>#DIV/0!</v>
      </c>
      <c r="N31" s="264"/>
      <c r="O31" s="267"/>
      <c r="P31" s="267"/>
      <c r="Q31" s="267"/>
    </row>
    <row r="32" spans="1:24" ht="29.25" customHeight="1">
      <c r="A32" s="282"/>
      <c r="B32" s="167" t="s">
        <v>152</v>
      </c>
      <c r="C32" s="283"/>
      <c r="D32" s="64">
        <v>15.7</v>
      </c>
      <c r="E32" s="64">
        <v>22.8</v>
      </c>
      <c r="F32" s="64">
        <v>1.6</v>
      </c>
      <c r="G32" s="105">
        <f t="shared" si="0"/>
        <v>-21.2</v>
      </c>
      <c r="H32" s="105">
        <f t="shared" si="1"/>
        <v>7.0175438596491224</v>
      </c>
      <c r="J32" s="257">
        <v>9000</v>
      </c>
      <c r="K32" s="66">
        <f>K12+K19+K26</f>
        <v>16413.700000000004</v>
      </c>
      <c r="L32" s="49">
        <f t="shared" ref="L32:M32" si="16">L12+L19+L26</f>
        <v>13145.5</v>
      </c>
      <c r="M32" s="49">
        <f t="shared" si="16"/>
        <v>15747.4</v>
      </c>
      <c r="N32" s="264"/>
      <c r="O32" s="267"/>
      <c r="P32" s="267"/>
      <c r="Q32" s="267"/>
    </row>
    <row r="33" spans="1:19" ht="30" customHeight="1">
      <c r="A33" s="269" t="s">
        <v>87</v>
      </c>
      <c r="B33" s="266" t="s">
        <v>91</v>
      </c>
      <c r="C33" s="60">
        <v>1020</v>
      </c>
      <c r="D33" s="61">
        <f>D34+D35+D36</f>
        <v>7855</v>
      </c>
      <c r="E33" s="61">
        <f>E34+E35+E36</f>
        <v>4461.5999999999995</v>
      </c>
      <c r="F33" s="61">
        <f>F34+F35+F36</f>
        <v>5612.8</v>
      </c>
      <c r="G33" s="104">
        <f t="shared" si="0"/>
        <v>1151.2000000000007</v>
      </c>
      <c r="H33" s="104">
        <f t="shared" si="1"/>
        <v>125.80240272547967</v>
      </c>
      <c r="J33" s="257">
        <v>9010</v>
      </c>
      <c r="K33" s="66">
        <f>K13+K20+K27</f>
        <v>53283.100000000006</v>
      </c>
      <c r="L33" s="49">
        <f t="shared" ref="L33:M33" si="17">L13+L20+L27</f>
        <v>54064.1</v>
      </c>
      <c r="M33" s="49">
        <f t="shared" si="17"/>
        <v>64938.399999999994</v>
      </c>
      <c r="N33" s="264"/>
    </row>
    <row r="34" spans="1:19" ht="27" customHeight="1">
      <c r="A34" s="270" t="s">
        <v>153</v>
      </c>
      <c r="B34" s="271" t="s">
        <v>2</v>
      </c>
      <c r="C34" s="279">
        <v>1022</v>
      </c>
      <c r="D34" s="80">
        <v>6402.3</v>
      </c>
      <c r="E34" s="80">
        <v>3624</v>
      </c>
      <c r="F34" s="80">
        <f>4166.4+254.3</f>
        <v>4420.7</v>
      </c>
      <c r="G34" s="273">
        <f t="shared" si="0"/>
        <v>796.69999999999982</v>
      </c>
      <c r="H34" s="273">
        <f t="shared" si="1"/>
        <v>121.98399558498896</v>
      </c>
      <c r="J34" s="257">
        <v>9020</v>
      </c>
      <c r="K34" s="66">
        <f>K14+K21+K28</f>
        <v>11373.8</v>
      </c>
      <c r="L34" s="49">
        <f t="shared" ref="L34:M34" si="18">L14+L21+L28</f>
        <v>11624.2</v>
      </c>
      <c r="M34" s="49">
        <f t="shared" si="18"/>
        <v>13720.2</v>
      </c>
      <c r="N34" s="264"/>
      <c r="O34" s="288"/>
      <c r="P34" s="288"/>
      <c r="Q34" s="288"/>
    </row>
    <row r="35" spans="1:19" ht="28.5" customHeight="1">
      <c r="A35" s="270" t="s">
        <v>154</v>
      </c>
      <c r="B35" s="271" t="s">
        <v>3</v>
      </c>
      <c r="C35" s="279">
        <v>1023</v>
      </c>
      <c r="D35" s="80">
        <v>1417.8</v>
      </c>
      <c r="E35" s="80">
        <v>779.2</v>
      </c>
      <c r="F35" s="80">
        <v>906.5</v>
      </c>
      <c r="G35" s="273">
        <f t="shared" si="0"/>
        <v>127.29999999999995</v>
      </c>
      <c r="H35" s="273">
        <f t="shared" si="1"/>
        <v>116.33726899383983</v>
      </c>
      <c r="J35" s="257">
        <v>9030</v>
      </c>
      <c r="K35" s="66">
        <f>K15+K22+K29</f>
        <v>2074.5</v>
      </c>
      <c r="L35" s="49">
        <f t="shared" ref="L35:M35" si="19">L15+L22+L29</f>
        <v>0</v>
      </c>
      <c r="M35" s="49">
        <f t="shared" si="19"/>
        <v>3764.5</v>
      </c>
      <c r="N35" s="264"/>
      <c r="O35" s="288"/>
      <c r="P35" s="288"/>
      <c r="Q35" s="288"/>
    </row>
    <row r="36" spans="1:19" ht="29.25" customHeight="1">
      <c r="A36" s="270" t="s">
        <v>155</v>
      </c>
      <c r="B36" s="271" t="s">
        <v>156</v>
      </c>
      <c r="C36" s="272">
        <v>1025</v>
      </c>
      <c r="D36" s="80">
        <f>SUM(D37:D41)</f>
        <v>34.900000000000006</v>
      </c>
      <c r="E36" s="80">
        <f>SUM(E37:E41)</f>
        <v>58.4</v>
      </c>
      <c r="F36" s="80">
        <f>SUM(F37:F41)</f>
        <v>285.59999999999997</v>
      </c>
      <c r="G36" s="273">
        <f t="shared" si="0"/>
        <v>227.19999999999996</v>
      </c>
      <c r="H36" s="273">
        <f t="shared" si="1"/>
        <v>489.04109589041093</v>
      </c>
      <c r="J36" s="257">
        <v>9040</v>
      </c>
      <c r="K36" s="66">
        <f>K16+K23+K30</f>
        <v>8193.2000000000007</v>
      </c>
      <c r="L36" s="49">
        <f t="shared" ref="L36:M36" si="20">L16+L23+L30</f>
        <v>12368</v>
      </c>
      <c r="M36" s="49">
        <f t="shared" si="20"/>
        <v>10337.599999999999</v>
      </c>
      <c r="N36" s="264"/>
      <c r="O36" s="289"/>
      <c r="P36" s="289"/>
      <c r="Q36" s="289"/>
    </row>
    <row r="37" spans="1:19" ht="24.75" customHeight="1">
      <c r="A37" s="290"/>
      <c r="B37" s="167" t="s">
        <v>152</v>
      </c>
      <c r="C37" s="276"/>
      <c r="D37" s="79">
        <v>6.7</v>
      </c>
      <c r="E37" s="79">
        <v>6.8</v>
      </c>
      <c r="F37" s="79">
        <v>3.6</v>
      </c>
      <c r="G37" s="105">
        <f t="shared" si="0"/>
        <v>-3.1999999999999997</v>
      </c>
      <c r="H37" s="105">
        <f t="shared" si="1"/>
        <v>52.941176470588239</v>
      </c>
      <c r="J37" s="257">
        <v>9050</v>
      </c>
      <c r="K37" s="77">
        <f>SUM(K32:K36)</f>
        <v>91338.300000000017</v>
      </c>
      <c r="L37" s="76">
        <f>SUM(L32:L36)</f>
        <v>91201.8</v>
      </c>
      <c r="M37" s="76">
        <f>SUM(M32:M36)</f>
        <v>108508.09999999998</v>
      </c>
      <c r="N37" s="264"/>
      <c r="O37" s="289"/>
      <c r="P37" s="289"/>
      <c r="Q37" s="289"/>
    </row>
    <row r="38" spans="1:19" ht="40.5" customHeight="1">
      <c r="A38" s="290"/>
      <c r="B38" s="167" t="s">
        <v>157</v>
      </c>
      <c r="C38" s="276"/>
      <c r="D38" s="79">
        <v>26</v>
      </c>
      <c r="E38" s="79">
        <v>48</v>
      </c>
      <c r="F38" s="79">
        <f>22.2+29.9+44.8+3.6</f>
        <v>100.49999999999999</v>
      </c>
      <c r="G38" s="105">
        <f t="shared" si="0"/>
        <v>52.499999999999986</v>
      </c>
      <c r="H38" s="105">
        <f t="shared" si="1"/>
        <v>209.37499999999994</v>
      </c>
      <c r="N38" s="264"/>
      <c r="O38" s="288"/>
      <c r="P38" s="288"/>
      <c r="Q38" s="288"/>
    </row>
    <row r="39" spans="1:19" ht="27" customHeight="1">
      <c r="A39" s="290"/>
      <c r="B39" s="167" t="s">
        <v>273</v>
      </c>
      <c r="C39" s="276"/>
      <c r="D39" s="79"/>
      <c r="E39" s="79"/>
      <c r="F39" s="79">
        <v>20.5</v>
      </c>
      <c r="G39" s="105">
        <f t="shared" si="0"/>
        <v>20.5</v>
      </c>
      <c r="H39" s="278" t="e">
        <f t="shared" si="1"/>
        <v>#DIV/0!</v>
      </c>
      <c r="N39" s="264"/>
      <c r="O39" s="288"/>
      <c r="P39" s="288"/>
      <c r="Q39" s="288"/>
    </row>
    <row r="40" spans="1:19" ht="25.5" customHeight="1">
      <c r="A40" s="290"/>
      <c r="B40" s="167" t="s">
        <v>434</v>
      </c>
      <c r="C40" s="276"/>
      <c r="D40" s="79"/>
      <c r="E40" s="79"/>
      <c r="F40" s="79">
        <f>29+132</f>
        <v>161</v>
      </c>
      <c r="G40" s="105">
        <f t="shared" si="0"/>
        <v>161</v>
      </c>
      <c r="H40" s="278" t="e">
        <f t="shared" si="1"/>
        <v>#DIV/0!</v>
      </c>
      <c r="N40" s="264"/>
      <c r="O40" s="288"/>
      <c r="P40" s="288"/>
      <c r="Q40" s="288"/>
    </row>
    <row r="41" spans="1:19" ht="26.25" customHeight="1">
      <c r="A41" s="290"/>
      <c r="B41" s="167" t="s">
        <v>158</v>
      </c>
      <c r="C41" s="276"/>
      <c r="D41" s="79">
        <v>2.2000000000000002</v>
      </c>
      <c r="E41" s="79">
        <v>3.6</v>
      </c>
      <c r="F41" s="79"/>
      <c r="G41" s="105">
        <f t="shared" si="0"/>
        <v>-3.6</v>
      </c>
      <c r="H41" s="105">
        <f t="shared" si="1"/>
        <v>0</v>
      </c>
      <c r="N41" s="264"/>
      <c r="O41" s="265"/>
      <c r="P41" s="265"/>
      <c r="Q41" s="265"/>
      <c r="S41" s="66"/>
    </row>
    <row r="42" spans="1:19" ht="23.25" customHeight="1">
      <c r="A42" s="269" t="s">
        <v>90</v>
      </c>
      <c r="B42" s="291" t="s">
        <v>92</v>
      </c>
      <c r="C42" s="60">
        <v>1030</v>
      </c>
      <c r="D42" s="61">
        <f>D43+D44</f>
        <v>479</v>
      </c>
      <c r="E42" s="61">
        <f>E43+E44</f>
        <v>0</v>
      </c>
      <c r="F42" s="61">
        <f>F43+F44+F45</f>
        <v>848.3</v>
      </c>
      <c r="G42" s="104">
        <f t="shared" si="0"/>
        <v>848.3</v>
      </c>
      <c r="H42" s="292" t="e">
        <f t="shared" si="1"/>
        <v>#DIV/0!</v>
      </c>
      <c r="Q42" s="293"/>
    </row>
    <row r="43" spans="1:19" ht="23.25" customHeight="1">
      <c r="A43" s="270" t="s">
        <v>159</v>
      </c>
      <c r="B43" s="271" t="s">
        <v>2</v>
      </c>
      <c r="C43" s="279">
        <v>1032</v>
      </c>
      <c r="D43" s="80">
        <v>335.1</v>
      </c>
      <c r="E43" s="80"/>
      <c r="F43" s="80">
        <v>659.4</v>
      </c>
      <c r="G43" s="273">
        <f t="shared" si="0"/>
        <v>659.4</v>
      </c>
      <c r="H43" s="280" t="e">
        <f t="shared" si="1"/>
        <v>#DIV/0!</v>
      </c>
    </row>
    <row r="44" spans="1:19" ht="23.25" customHeight="1">
      <c r="A44" s="270" t="s">
        <v>160</v>
      </c>
      <c r="B44" s="271" t="s">
        <v>3</v>
      </c>
      <c r="C44" s="279">
        <v>1033</v>
      </c>
      <c r="D44" s="80">
        <v>143.9</v>
      </c>
      <c r="E44" s="80"/>
      <c r="F44" s="80">
        <v>182</v>
      </c>
      <c r="G44" s="273">
        <f t="shared" si="0"/>
        <v>182</v>
      </c>
      <c r="H44" s="280" t="e">
        <f t="shared" si="1"/>
        <v>#DIV/0!</v>
      </c>
      <c r="R44" s="66"/>
    </row>
    <row r="45" spans="1:19" ht="23.25" customHeight="1">
      <c r="A45" s="270" t="s">
        <v>695</v>
      </c>
      <c r="B45" s="294" t="s">
        <v>92</v>
      </c>
      <c r="C45" s="279">
        <v>1035</v>
      </c>
      <c r="D45" s="80"/>
      <c r="E45" s="80"/>
      <c r="F45" s="80">
        <f>F46</f>
        <v>6.9</v>
      </c>
      <c r="G45" s="273">
        <f t="shared" si="0"/>
        <v>6.9</v>
      </c>
      <c r="H45" s="280" t="e">
        <f t="shared" si="1"/>
        <v>#DIV/0!</v>
      </c>
    </row>
    <row r="46" spans="1:19" ht="23.25" customHeight="1">
      <c r="A46" s="290"/>
      <c r="B46" s="167" t="s">
        <v>684</v>
      </c>
      <c r="C46" s="283"/>
      <c r="D46" s="79"/>
      <c r="E46" s="79"/>
      <c r="F46" s="64">
        <v>6.9</v>
      </c>
      <c r="G46" s="105">
        <f t="shared" si="0"/>
        <v>6.9</v>
      </c>
      <c r="H46" s="278" t="e">
        <f t="shared" si="1"/>
        <v>#DIV/0!</v>
      </c>
    </row>
    <row r="47" spans="1:19" ht="42" customHeight="1">
      <c r="A47" s="262" t="s">
        <v>93</v>
      </c>
      <c r="B47" s="266" t="s">
        <v>254</v>
      </c>
      <c r="C47" s="295"/>
      <c r="D47" s="61">
        <f>D49</f>
        <v>0</v>
      </c>
      <c r="E47" s="61">
        <f>E49</f>
        <v>0</v>
      </c>
      <c r="F47" s="61">
        <f>F49</f>
        <v>371</v>
      </c>
      <c r="G47" s="104">
        <f t="shared" si="0"/>
        <v>371</v>
      </c>
      <c r="H47" s="292" t="e">
        <f t="shared" si="1"/>
        <v>#DIV/0!</v>
      </c>
      <c r="I47" s="66"/>
    </row>
    <row r="48" spans="1:19" ht="27" customHeight="1">
      <c r="A48" s="58"/>
      <c r="B48" s="268" t="s">
        <v>85</v>
      </c>
      <c r="C48" s="55"/>
      <c r="D48" s="61"/>
      <c r="E48" s="61"/>
      <c r="F48" s="61"/>
      <c r="G48" s="105"/>
      <c r="H48" s="105"/>
    </row>
    <row r="49" spans="1:16" ht="23.25" customHeight="1">
      <c r="A49" s="269" t="s">
        <v>338</v>
      </c>
      <c r="B49" s="59" t="s">
        <v>89</v>
      </c>
      <c r="C49" s="60">
        <v>1010</v>
      </c>
      <c r="D49" s="61">
        <f>D50+D51</f>
        <v>0</v>
      </c>
      <c r="E49" s="61">
        <f>E50+E51</f>
        <v>0</v>
      </c>
      <c r="F49" s="61">
        <f>F50+F51</f>
        <v>371</v>
      </c>
      <c r="G49" s="104">
        <f t="shared" si="0"/>
        <v>371</v>
      </c>
      <c r="H49" s="292" t="e">
        <f t="shared" si="1"/>
        <v>#DIV/0!</v>
      </c>
      <c r="L49" s="66"/>
    </row>
    <row r="50" spans="1:16" ht="26.25" customHeight="1">
      <c r="A50" s="270" t="s">
        <v>339</v>
      </c>
      <c r="B50" s="271" t="s">
        <v>2</v>
      </c>
      <c r="C50" s="279">
        <v>1012</v>
      </c>
      <c r="D50" s="80"/>
      <c r="E50" s="80"/>
      <c r="F50" s="80">
        <v>289.39999999999998</v>
      </c>
      <c r="G50" s="273">
        <f t="shared" si="0"/>
        <v>289.39999999999998</v>
      </c>
      <c r="H50" s="280" t="e">
        <f t="shared" si="1"/>
        <v>#DIV/0!</v>
      </c>
    </row>
    <row r="51" spans="1:16" ht="28.5" customHeight="1">
      <c r="A51" s="270" t="s">
        <v>340</v>
      </c>
      <c r="B51" s="271" t="s">
        <v>3</v>
      </c>
      <c r="C51" s="279">
        <v>1013</v>
      </c>
      <c r="D51" s="80"/>
      <c r="E51" s="80"/>
      <c r="F51" s="80">
        <v>81.599999999999994</v>
      </c>
      <c r="G51" s="273">
        <f t="shared" si="0"/>
        <v>81.599999999999994</v>
      </c>
      <c r="H51" s="280" t="e">
        <f t="shared" si="1"/>
        <v>#DIV/0!</v>
      </c>
    </row>
    <row r="52" spans="1:16" ht="41.25" customHeight="1">
      <c r="A52" s="290" t="s">
        <v>103</v>
      </c>
      <c r="B52" s="296" t="s">
        <v>413</v>
      </c>
      <c r="C52" s="295"/>
      <c r="D52" s="61"/>
      <c r="E52" s="79"/>
      <c r="F52" s="61">
        <f>F54</f>
        <v>366.8</v>
      </c>
      <c r="G52" s="104">
        <f t="shared" si="0"/>
        <v>366.8</v>
      </c>
      <c r="H52" s="292" t="e">
        <f t="shared" si="1"/>
        <v>#DIV/0!</v>
      </c>
    </row>
    <row r="53" spans="1:16" ht="26.25" customHeight="1">
      <c r="A53" s="290"/>
      <c r="B53" s="297" t="s">
        <v>85</v>
      </c>
      <c r="C53" s="295"/>
      <c r="D53" s="79"/>
      <c r="E53" s="79"/>
      <c r="F53" s="61"/>
      <c r="G53" s="105"/>
      <c r="H53" s="278"/>
    </row>
    <row r="54" spans="1:16" ht="27" customHeight="1">
      <c r="A54" s="290" t="s">
        <v>341</v>
      </c>
      <c r="B54" s="298" t="s">
        <v>89</v>
      </c>
      <c r="C54" s="295">
        <v>1010</v>
      </c>
      <c r="D54" s="61"/>
      <c r="E54" s="61"/>
      <c r="F54" s="61">
        <f>F55+F61</f>
        <v>366.8</v>
      </c>
      <c r="G54" s="104">
        <f t="shared" si="0"/>
        <v>366.8</v>
      </c>
      <c r="H54" s="292" t="e">
        <f t="shared" si="1"/>
        <v>#DIV/0!</v>
      </c>
    </row>
    <row r="55" spans="1:16" ht="26.25" customHeight="1">
      <c r="A55" s="270" t="s">
        <v>421</v>
      </c>
      <c r="B55" s="299" t="s">
        <v>105</v>
      </c>
      <c r="C55" s="272">
        <v>1011</v>
      </c>
      <c r="D55" s="80"/>
      <c r="E55" s="80"/>
      <c r="F55" s="80">
        <f>SUM(F56:F60)</f>
        <v>321.60000000000002</v>
      </c>
      <c r="G55" s="273">
        <f t="shared" si="0"/>
        <v>321.60000000000002</v>
      </c>
      <c r="H55" s="280" t="e">
        <f t="shared" si="1"/>
        <v>#DIV/0!</v>
      </c>
    </row>
    <row r="56" spans="1:16" ht="23.25" customHeight="1">
      <c r="A56" s="290"/>
      <c r="B56" s="84" t="s">
        <v>136</v>
      </c>
      <c r="C56" s="295"/>
      <c r="D56" s="79"/>
      <c r="E56" s="79"/>
      <c r="F56" s="64">
        <f>43.4+28.1+14.7+38.6</f>
        <v>124.80000000000001</v>
      </c>
      <c r="G56" s="105">
        <f t="shared" si="0"/>
        <v>124.80000000000001</v>
      </c>
      <c r="H56" s="278" t="e">
        <f t="shared" si="1"/>
        <v>#DIV/0!</v>
      </c>
    </row>
    <row r="57" spans="1:16" ht="23.25" customHeight="1">
      <c r="A57" s="290"/>
      <c r="B57" s="84" t="s">
        <v>137</v>
      </c>
      <c r="C57" s="295"/>
      <c r="D57" s="79"/>
      <c r="E57" s="79"/>
      <c r="F57" s="64">
        <v>20.7</v>
      </c>
      <c r="G57" s="105">
        <f t="shared" si="0"/>
        <v>20.7</v>
      </c>
      <c r="H57" s="278" t="e">
        <f t="shared" si="1"/>
        <v>#DIV/0!</v>
      </c>
    </row>
    <row r="58" spans="1:16" ht="23.25" customHeight="1">
      <c r="A58" s="290"/>
      <c r="B58" s="84" t="s">
        <v>245</v>
      </c>
      <c r="C58" s="295"/>
      <c r="D58" s="79"/>
      <c r="E58" s="79"/>
      <c r="F58" s="64">
        <f>6.8+17+6+3.9-13.9</f>
        <v>19.800000000000004</v>
      </c>
      <c r="G58" s="105">
        <f t="shared" si="0"/>
        <v>19.800000000000004</v>
      </c>
      <c r="H58" s="278" t="e">
        <f t="shared" si="1"/>
        <v>#DIV/0!</v>
      </c>
    </row>
    <row r="59" spans="1:16" ht="45" customHeight="1">
      <c r="A59" s="290"/>
      <c r="B59" s="84" t="s">
        <v>161</v>
      </c>
      <c r="C59" s="295"/>
      <c r="D59" s="79"/>
      <c r="E59" s="79"/>
      <c r="F59" s="64">
        <f>127.7+13.9+5.1+3.9-7.8</f>
        <v>142.79999999999998</v>
      </c>
      <c r="G59" s="105">
        <f t="shared" si="0"/>
        <v>142.79999999999998</v>
      </c>
      <c r="H59" s="278" t="e">
        <f t="shared" si="1"/>
        <v>#DIV/0!</v>
      </c>
    </row>
    <row r="60" spans="1:16" ht="23.25" customHeight="1">
      <c r="A60" s="290"/>
      <c r="B60" s="84" t="s">
        <v>162</v>
      </c>
      <c r="C60" s="295"/>
      <c r="D60" s="79"/>
      <c r="E60" s="79"/>
      <c r="F60" s="64">
        <f>13+5.6-5.1</f>
        <v>13.500000000000002</v>
      </c>
      <c r="G60" s="105">
        <f t="shared" si="0"/>
        <v>13.500000000000002</v>
      </c>
      <c r="H60" s="278" t="e">
        <f t="shared" si="1"/>
        <v>#DIV/0!</v>
      </c>
    </row>
    <row r="61" spans="1:16" ht="28.5" customHeight="1">
      <c r="A61" s="270" t="s">
        <v>421</v>
      </c>
      <c r="B61" s="300" t="s">
        <v>96</v>
      </c>
      <c r="C61" s="173">
        <v>1015</v>
      </c>
      <c r="D61" s="80"/>
      <c r="E61" s="80"/>
      <c r="F61" s="80">
        <f>F62+F63</f>
        <v>45.2</v>
      </c>
      <c r="G61" s="273">
        <f t="shared" si="0"/>
        <v>45.2</v>
      </c>
      <c r="H61" s="280" t="e">
        <f t="shared" si="1"/>
        <v>#DIV/0!</v>
      </c>
    </row>
    <row r="62" spans="1:16" ht="25.5" customHeight="1">
      <c r="A62" s="290"/>
      <c r="B62" s="168" t="s">
        <v>149</v>
      </c>
      <c r="C62" s="295"/>
      <c r="D62" s="79"/>
      <c r="E62" s="79"/>
      <c r="F62" s="64">
        <f>25.8+17.2-3.9</f>
        <v>39.1</v>
      </c>
      <c r="G62" s="105">
        <f t="shared" si="0"/>
        <v>39.1</v>
      </c>
      <c r="H62" s="278" t="e">
        <f t="shared" si="1"/>
        <v>#DIV/0!</v>
      </c>
    </row>
    <row r="63" spans="1:16" ht="23.25" customHeight="1">
      <c r="A63" s="290"/>
      <c r="B63" s="167" t="s">
        <v>167</v>
      </c>
      <c r="C63" s="295"/>
      <c r="D63" s="79"/>
      <c r="E63" s="79"/>
      <c r="F63" s="64">
        <v>6.1</v>
      </c>
      <c r="G63" s="105">
        <f t="shared" si="0"/>
        <v>6.1</v>
      </c>
      <c r="H63" s="278" t="e">
        <f t="shared" si="1"/>
        <v>#DIV/0!</v>
      </c>
    </row>
    <row r="64" spans="1:16" ht="44.25" customHeight="1">
      <c r="A64" s="262" t="s">
        <v>104</v>
      </c>
      <c r="B64" s="296" t="s">
        <v>256</v>
      </c>
      <c r="C64" s="60"/>
      <c r="D64" s="61">
        <f>D66+D104+D123</f>
        <v>1004.7</v>
      </c>
      <c r="E64" s="61">
        <f>E66+E104+E123</f>
        <v>3347.5</v>
      </c>
      <c r="F64" s="61">
        <f>F66+F104+F123</f>
        <v>742</v>
      </c>
      <c r="G64" s="104">
        <f t="shared" si="0"/>
        <v>-2605.5</v>
      </c>
      <c r="H64" s="104">
        <f t="shared" si="1"/>
        <v>22.165795369678865</v>
      </c>
      <c r="K64" s="66"/>
      <c r="M64" s="66"/>
      <c r="P64" s="293"/>
    </row>
    <row r="65" spans="1:15" ht="28.5" customHeight="1">
      <c r="A65" s="58"/>
      <c r="B65" s="268" t="s">
        <v>85</v>
      </c>
      <c r="C65" s="55"/>
      <c r="D65" s="64"/>
      <c r="E65" s="64"/>
      <c r="F65" s="64"/>
      <c r="G65" s="105"/>
      <c r="H65" s="105"/>
    </row>
    <row r="66" spans="1:15" ht="28.5" customHeight="1">
      <c r="A66" s="269" t="s">
        <v>342</v>
      </c>
      <c r="B66" s="59" t="s">
        <v>89</v>
      </c>
      <c r="C66" s="60">
        <v>1010</v>
      </c>
      <c r="D66" s="61">
        <f>D67+D74+D75+D76+D77</f>
        <v>732.6</v>
      </c>
      <c r="E66" s="61">
        <f>E67+E74+E75+E76+E77</f>
        <v>3165.5</v>
      </c>
      <c r="F66" s="61">
        <f>F67+F74+F75+F76+F77</f>
        <v>659.1</v>
      </c>
      <c r="G66" s="104">
        <f t="shared" si="0"/>
        <v>-2506.4</v>
      </c>
      <c r="H66" s="104">
        <f t="shared" si="1"/>
        <v>20.821355236139631</v>
      </c>
    </row>
    <row r="67" spans="1:15" ht="27.75" customHeight="1">
      <c r="A67" s="270" t="s">
        <v>414</v>
      </c>
      <c r="B67" s="299" t="s">
        <v>105</v>
      </c>
      <c r="C67" s="272">
        <v>1011</v>
      </c>
      <c r="D67" s="80">
        <f>SUM(D68:D73)</f>
        <v>268.8</v>
      </c>
      <c r="E67" s="80">
        <f>SUM(E68:E73)</f>
        <v>592.20000000000005</v>
      </c>
      <c r="F67" s="80">
        <f>SUM(F68:F73)</f>
        <v>118.39999999999999</v>
      </c>
      <c r="G67" s="273">
        <f t="shared" si="0"/>
        <v>-473.80000000000007</v>
      </c>
      <c r="H67" s="273">
        <f t="shared" si="1"/>
        <v>19.993245525160415</v>
      </c>
    </row>
    <row r="68" spans="1:15" ht="24" customHeight="1">
      <c r="A68" s="270"/>
      <c r="B68" s="84" t="s">
        <v>136</v>
      </c>
      <c r="C68" s="301"/>
      <c r="D68" s="64">
        <v>115.8</v>
      </c>
      <c r="E68" s="64">
        <v>185</v>
      </c>
      <c r="F68" s="64">
        <v>34.299999999999997</v>
      </c>
      <c r="G68" s="105">
        <f t="shared" si="0"/>
        <v>-150.69999999999999</v>
      </c>
      <c r="H68" s="105">
        <f t="shared" si="1"/>
        <v>18.54054054054054</v>
      </c>
    </row>
    <row r="69" spans="1:15" ht="25.5" customHeight="1">
      <c r="A69" s="270"/>
      <c r="B69" s="84" t="s">
        <v>696</v>
      </c>
      <c r="C69" s="301"/>
      <c r="D69" s="64">
        <v>22.2</v>
      </c>
      <c r="E69" s="64">
        <v>107</v>
      </c>
      <c r="F69" s="64">
        <v>32.4</v>
      </c>
      <c r="G69" s="105">
        <f t="shared" si="0"/>
        <v>-74.599999999999994</v>
      </c>
      <c r="H69" s="105">
        <f t="shared" si="1"/>
        <v>30.280373831775698</v>
      </c>
    </row>
    <row r="70" spans="1:15" ht="29.25" customHeight="1">
      <c r="A70" s="270"/>
      <c r="B70" s="84" t="s">
        <v>245</v>
      </c>
      <c r="C70" s="301"/>
      <c r="D70" s="64">
        <v>35.700000000000003</v>
      </c>
      <c r="E70" s="64">
        <v>24</v>
      </c>
      <c r="F70" s="64">
        <f>12.4-3.9+13.9</f>
        <v>22.4</v>
      </c>
      <c r="G70" s="105">
        <f t="shared" ref="G70:G133" si="21">F70-E70</f>
        <v>-1.6000000000000014</v>
      </c>
      <c r="H70" s="105">
        <f t="shared" ref="H70:H133" si="22">(F70/E70)*100</f>
        <v>93.333333333333329</v>
      </c>
    </row>
    <row r="71" spans="1:15" ht="39" customHeight="1">
      <c r="A71" s="290"/>
      <c r="B71" s="84" t="s">
        <v>161</v>
      </c>
      <c r="C71" s="302"/>
      <c r="D71" s="64">
        <v>37.4</v>
      </c>
      <c r="E71" s="64">
        <v>200.2</v>
      </c>
      <c r="F71" s="64">
        <f>17.5-5.1-3.9+7.8</f>
        <v>16.3</v>
      </c>
      <c r="G71" s="105">
        <f t="shared" si="21"/>
        <v>-183.89999999999998</v>
      </c>
      <c r="H71" s="105">
        <f t="shared" si="22"/>
        <v>8.1418581418581422</v>
      </c>
      <c r="M71" s="66"/>
      <c r="O71" s="293"/>
    </row>
    <row r="72" spans="1:15" ht="27" customHeight="1">
      <c r="A72" s="290"/>
      <c r="B72" s="84" t="s">
        <v>504</v>
      </c>
      <c r="C72" s="302"/>
      <c r="D72" s="64">
        <v>51.5</v>
      </c>
      <c r="E72" s="64"/>
      <c r="F72" s="64"/>
      <c r="G72" s="105">
        <f t="shared" si="21"/>
        <v>0</v>
      </c>
      <c r="H72" s="278" t="e">
        <f t="shared" si="22"/>
        <v>#DIV/0!</v>
      </c>
    </row>
    <row r="73" spans="1:15" ht="27" customHeight="1">
      <c r="A73" s="290"/>
      <c r="B73" s="84" t="s">
        <v>162</v>
      </c>
      <c r="C73" s="276"/>
      <c r="D73" s="64">
        <v>6.2</v>
      </c>
      <c r="E73" s="64">
        <v>76</v>
      </c>
      <c r="F73" s="64">
        <f>19.5-6-5.6+5.1</f>
        <v>13</v>
      </c>
      <c r="G73" s="105">
        <f t="shared" si="21"/>
        <v>-63</v>
      </c>
      <c r="H73" s="105">
        <f t="shared" si="22"/>
        <v>17.105263157894736</v>
      </c>
    </row>
    <row r="74" spans="1:15" ht="30.75" customHeight="1">
      <c r="A74" s="270" t="s">
        <v>343</v>
      </c>
      <c r="B74" s="303" t="s">
        <v>2</v>
      </c>
      <c r="C74" s="272">
        <v>1012</v>
      </c>
      <c r="D74" s="79">
        <v>68.7</v>
      </c>
      <c r="E74" s="80"/>
      <c r="F74" s="80">
        <v>202.1</v>
      </c>
      <c r="G74" s="273">
        <f t="shared" si="21"/>
        <v>202.1</v>
      </c>
      <c r="H74" s="280" t="e">
        <f t="shared" si="22"/>
        <v>#DIV/0!</v>
      </c>
    </row>
    <row r="75" spans="1:15" ht="29.25" customHeight="1">
      <c r="A75" s="270" t="s">
        <v>344</v>
      </c>
      <c r="B75" s="303" t="s">
        <v>3</v>
      </c>
      <c r="C75" s="272">
        <v>1013</v>
      </c>
      <c r="D75" s="79">
        <v>15.1</v>
      </c>
      <c r="E75" s="80"/>
      <c r="F75" s="80">
        <v>42.4</v>
      </c>
      <c r="G75" s="273">
        <f t="shared" si="21"/>
        <v>42.4</v>
      </c>
      <c r="H75" s="280" t="e">
        <f t="shared" si="22"/>
        <v>#DIV/0!</v>
      </c>
    </row>
    <row r="76" spans="1:15" ht="27.75" customHeight="1">
      <c r="A76" s="270" t="s">
        <v>415</v>
      </c>
      <c r="B76" s="303" t="s">
        <v>4</v>
      </c>
      <c r="C76" s="272">
        <v>1014</v>
      </c>
      <c r="D76" s="79">
        <v>153.69999999999999</v>
      </c>
      <c r="E76" s="80"/>
      <c r="F76" s="80">
        <v>140.1</v>
      </c>
      <c r="G76" s="273">
        <f t="shared" si="21"/>
        <v>140.1</v>
      </c>
      <c r="H76" s="280" t="e">
        <f t="shared" si="22"/>
        <v>#DIV/0!</v>
      </c>
    </row>
    <row r="77" spans="1:15" ht="29.25" customHeight="1">
      <c r="A77" s="270" t="s">
        <v>416</v>
      </c>
      <c r="B77" s="300" t="s">
        <v>96</v>
      </c>
      <c r="C77" s="173">
        <v>1015</v>
      </c>
      <c r="D77" s="80">
        <f>SUM(D78:D103)</f>
        <v>226.30000000000004</v>
      </c>
      <c r="E77" s="80">
        <f>SUM(E78:E103)</f>
        <v>2573.3000000000002</v>
      </c>
      <c r="F77" s="80">
        <f>SUM(F78:F103)</f>
        <v>156.1</v>
      </c>
      <c r="G77" s="273">
        <f t="shared" si="21"/>
        <v>-2417.2000000000003</v>
      </c>
      <c r="H77" s="273">
        <f t="shared" si="22"/>
        <v>6.0661407531185629</v>
      </c>
    </row>
    <row r="78" spans="1:15" ht="27" customHeight="1">
      <c r="A78" s="290"/>
      <c r="B78" s="168" t="s">
        <v>144</v>
      </c>
      <c r="C78" s="55"/>
      <c r="D78" s="64"/>
      <c r="E78" s="64">
        <v>30</v>
      </c>
      <c r="F78" s="64">
        <v>3.7</v>
      </c>
      <c r="G78" s="105">
        <f t="shared" si="21"/>
        <v>-26.3</v>
      </c>
      <c r="H78" s="105">
        <f t="shared" si="22"/>
        <v>12.333333333333334</v>
      </c>
    </row>
    <row r="79" spans="1:15" ht="24" customHeight="1">
      <c r="A79" s="290"/>
      <c r="B79" s="168" t="s">
        <v>145</v>
      </c>
      <c r="C79" s="55"/>
      <c r="D79" s="64"/>
      <c r="E79" s="64">
        <v>15</v>
      </c>
      <c r="F79" s="64"/>
      <c r="G79" s="105">
        <f t="shared" si="21"/>
        <v>-15</v>
      </c>
      <c r="H79" s="105">
        <f t="shared" si="22"/>
        <v>0</v>
      </c>
    </row>
    <row r="80" spans="1:15" ht="29.25" customHeight="1">
      <c r="A80" s="290"/>
      <c r="B80" s="168" t="s">
        <v>146</v>
      </c>
      <c r="C80" s="55"/>
      <c r="D80" s="64"/>
      <c r="E80" s="64">
        <v>49.9</v>
      </c>
      <c r="F80" s="64">
        <v>5.0999999999999996</v>
      </c>
      <c r="G80" s="105">
        <f t="shared" si="21"/>
        <v>-44.8</v>
      </c>
      <c r="H80" s="105">
        <f t="shared" si="22"/>
        <v>10.220440881763526</v>
      </c>
    </row>
    <row r="81" spans="1:12" ht="26.25" customHeight="1">
      <c r="A81" s="290"/>
      <c r="B81" s="168" t="s">
        <v>148</v>
      </c>
      <c r="C81" s="55"/>
      <c r="D81" s="64">
        <v>11.7</v>
      </c>
      <c r="E81" s="64">
        <v>25</v>
      </c>
      <c r="F81" s="64">
        <v>5</v>
      </c>
      <c r="G81" s="105">
        <f t="shared" si="21"/>
        <v>-20</v>
      </c>
      <c r="H81" s="105">
        <f t="shared" si="22"/>
        <v>20</v>
      </c>
    </row>
    <row r="82" spans="1:12" ht="25.5" customHeight="1">
      <c r="A82" s="290"/>
      <c r="B82" s="168" t="s">
        <v>149</v>
      </c>
      <c r="C82" s="55"/>
      <c r="D82" s="64">
        <v>63.9</v>
      </c>
      <c r="E82" s="64">
        <v>120</v>
      </c>
      <c r="F82" s="64">
        <v>23.6</v>
      </c>
      <c r="G82" s="105">
        <f t="shared" si="21"/>
        <v>-96.4</v>
      </c>
      <c r="H82" s="105">
        <f t="shared" si="22"/>
        <v>19.666666666666668</v>
      </c>
    </row>
    <row r="83" spans="1:12" ht="25.5" customHeight="1">
      <c r="A83" s="290"/>
      <c r="B83" s="168" t="s">
        <v>436</v>
      </c>
      <c r="C83" s="55"/>
      <c r="D83" s="64"/>
      <c r="E83" s="64"/>
      <c r="F83" s="64">
        <v>12.6</v>
      </c>
      <c r="G83" s="105">
        <f t="shared" si="21"/>
        <v>12.6</v>
      </c>
      <c r="H83" s="278" t="e">
        <f t="shared" si="22"/>
        <v>#DIV/0!</v>
      </c>
    </row>
    <row r="84" spans="1:12" ht="30.75" customHeight="1">
      <c r="A84" s="290"/>
      <c r="B84" s="168" t="s">
        <v>163</v>
      </c>
      <c r="C84" s="55"/>
      <c r="D84" s="64">
        <v>3.3</v>
      </c>
      <c r="E84" s="64">
        <v>3.2</v>
      </c>
      <c r="F84" s="64">
        <v>1.5</v>
      </c>
      <c r="G84" s="105">
        <f t="shared" si="21"/>
        <v>-1.7000000000000002</v>
      </c>
      <c r="H84" s="105">
        <f t="shared" si="22"/>
        <v>46.875</v>
      </c>
    </row>
    <row r="85" spans="1:12" ht="25.5" customHeight="1">
      <c r="A85" s="290"/>
      <c r="B85" s="168" t="s">
        <v>164</v>
      </c>
      <c r="C85" s="55"/>
      <c r="D85" s="64"/>
      <c r="E85" s="64">
        <v>70</v>
      </c>
      <c r="F85" s="64">
        <v>2.5</v>
      </c>
      <c r="G85" s="105">
        <f t="shared" si="21"/>
        <v>-67.5</v>
      </c>
      <c r="H85" s="105">
        <f t="shared" si="22"/>
        <v>3.5714285714285712</v>
      </c>
    </row>
    <row r="86" spans="1:12" ht="25.5" customHeight="1">
      <c r="A86" s="290"/>
      <c r="B86" s="168" t="s">
        <v>248</v>
      </c>
      <c r="C86" s="55"/>
      <c r="D86" s="64"/>
      <c r="E86" s="64"/>
      <c r="F86" s="64">
        <v>1.8</v>
      </c>
      <c r="G86" s="105">
        <f t="shared" si="21"/>
        <v>1.8</v>
      </c>
      <c r="H86" s="278" t="e">
        <f t="shared" si="22"/>
        <v>#DIV/0!</v>
      </c>
    </row>
    <row r="87" spans="1:12" ht="28.5" customHeight="1">
      <c r="A87" s="290"/>
      <c r="B87" s="168" t="s">
        <v>151</v>
      </c>
      <c r="C87" s="55"/>
      <c r="D87" s="64">
        <v>24.5</v>
      </c>
      <c r="E87" s="64">
        <v>33.6</v>
      </c>
      <c r="F87" s="64">
        <v>38.6</v>
      </c>
      <c r="G87" s="105">
        <f t="shared" si="21"/>
        <v>5</v>
      </c>
      <c r="H87" s="105">
        <f t="shared" si="22"/>
        <v>114.88095238095238</v>
      </c>
    </row>
    <row r="88" spans="1:12" ht="29.25" customHeight="1">
      <c r="A88" s="290"/>
      <c r="B88" s="168" t="s">
        <v>165</v>
      </c>
      <c r="C88" s="55"/>
      <c r="D88" s="64">
        <v>10.9</v>
      </c>
      <c r="E88" s="64">
        <v>44</v>
      </c>
      <c r="F88" s="64">
        <f>4.8-0.6</f>
        <v>4.2</v>
      </c>
      <c r="G88" s="105">
        <f t="shared" si="21"/>
        <v>-39.799999999999997</v>
      </c>
      <c r="H88" s="105">
        <f t="shared" si="22"/>
        <v>9.5454545454545467</v>
      </c>
    </row>
    <row r="89" spans="1:12" ht="29.25" customHeight="1">
      <c r="A89" s="290"/>
      <c r="B89" s="168" t="s">
        <v>150</v>
      </c>
      <c r="C89" s="55"/>
      <c r="D89" s="64">
        <v>25.5</v>
      </c>
      <c r="E89" s="64">
        <v>32</v>
      </c>
      <c r="F89" s="64">
        <v>2.1</v>
      </c>
      <c r="G89" s="105">
        <f t="shared" si="21"/>
        <v>-29.9</v>
      </c>
      <c r="H89" s="105">
        <f t="shared" si="22"/>
        <v>6.5625</v>
      </c>
    </row>
    <row r="90" spans="1:12" ht="29.25" customHeight="1">
      <c r="A90" s="290"/>
      <c r="B90" s="168" t="s">
        <v>213</v>
      </c>
      <c r="C90" s="55"/>
      <c r="D90" s="64"/>
      <c r="E90" s="64"/>
      <c r="F90" s="64">
        <f>30.6-2</f>
        <v>28.6</v>
      </c>
      <c r="G90" s="105">
        <f t="shared" si="21"/>
        <v>28.6</v>
      </c>
      <c r="H90" s="278" t="e">
        <f t="shared" si="22"/>
        <v>#DIV/0!</v>
      </c>
      <c r="I90" s="49" t="s">
        <v>689</v>
      </c>
      <c r="L90" s="49" t="s">
        <v>690</v>
      </c>
    </row>
    <row r="91" spans="1:12" ht="28.5" customHeight="1">
      <c r="A91" s="290"/>
      <c r="B91" s="167" t="s">
        <v>152</v>
      </c>
      <c r="C91" s="55"/>
      <c r="D91" s="64">
        <v>16.3</v>
      </c>
      <c r="E91" s="64">
        <v>7.6</v>
      </c>
      <c r="F91" s="64">
        <f>19.6+2.1-11.6</f>
        <v>10.100000000000003</v>
      </c>
      <c r="G91" s="105">
        <f t="shared" si="21"/>
        <v>2.5000000000000036</v>
      </c>
      <c r="H91" s="105">
        <f t="shared" si="22"/>
        <v>132.89473684210532</v>
      </c>
    </row>
    <row r="92" spans="1:12" ht="32.25" customHeight="1">
      <c r="A92" s="290"/>
      <c r="B92" s="167" t="s">
        <v>168</v>
      </c>
      <c r="C92" s="55"/>
      <c r="D92" s="64">
        <v>6.6</v>
      </c>
      <c r="E92" s="64">
        <v>4.9000000000000004</v>
      </c>
      <c r="F92" s="64"/>
      <c r="G92" s="105">
        <f t="shared" si="21"/>
        <v>-4.9000000000000004</v>
      </c>
      <c r="H92" s="105">
        <f t="shared" si="22"/>
        <v>0</v>
      </c>
    </row>
    <row r="93" spans="1:12" ht="37.5" customHeight="1">
      <c r="A93" s="290"/>
      <c r="B93" s="167" t="s">
        <v>157</v>
      </c>
      <c r="C93" s="55"/>
      <c r="D93" s="64">
        <v>6.6</v>
      </c>
      <c r="E93" s="64"/>
      <c r="F93" s="64"/>
      <c r="G93" s="105">
        <f t="shared" si="21"/>
        <v>0</v>
      </c>
      <c r="H93" s="278" t="e">
        <f t="shared" si="22"/>
        <v>#DIV/0!</v>
      </c>
    </row>
    <row r="94" spans="1:12" ht="26.25" customHeight="1">
      <c r="A94" s="290"/>
      <c r="B94" s="167" t="s">
        <v>262</v>
      </c>
      <c r="C94" s="55"/>
      <c r="D94" s="64">
        <v>5.6</v>
      </c>
      <c r="E94" s="64"/>
      <c r="F94" s="64"/>
      <c r="G94" s="105">
        <f t="shared" si="21"/>
        <v>0</v>
      </c>
      <c r="H94" s="278" t="e">
        <f t="shared" si="22"/>
        <v>#DIV/0!</v>
      </c>
    </row>
    <row r="95" spans="1:12" ht="22.5" customHeight="1">
      <c r="A95" s="290"/>
      <c r="B95" s="167" t="s">
        <v>247</v>
      </c>
      <c r="C95" s="55"/>
      <c r="D95" s="64">
        <v>2.6</v>
      </c>
      <c r="E95" s="64"/>
      <c r="F95" s="64"/>
      <c r="G95" s="105">
        <f t="shared" si="21"/>
        <v>0</v>
      </c>
      <c r="H95" s="278" t="e">
        <f t="shared" si="22"/>
        <v>#DIV/0!</v>
      </c>
    </row>
    <row r="96" spans="1:12" ht="25.5" customHeight="1">
      <c r="A96" s="275"/>
      <c r="B96" s="168" t="s">
        <v>170</v>
      </c>
      <c r="C96" s="276"/>
      <c r="D96" s="64"/>
      <c r="E96" s="64">
        <v>6</v>
      </c>
      <c r="F96" s="64"/>
      <c r="G96" s="105">
        <f t="shared" si="21"/>
        <v>-6</v>
      </c>
      <c r="H96" s="105">
        <f t="shared" si="22"/>
        <v>0</v>
      </c>
    </row>
    <row r="97" spans="1:8" ht="29.25" customHeight="1">
      <c r="A97" s="275"/>
      <c r="B97" s="168" t="s">
        <v>171</v>
      </c>
      <c r="C97" s="276"/>
      <c r="D97" s="64">
        <v>13.1</v>
      </c>
      <c r="E97" s="64">
        <v>1034.5</v>
      </c>
      <c r="F97" s="64"/>
      <c r="G97" s="105">
        <f t="shared" si="21"/>
        <v>-1034.5</v>
      </c>
      <c r="H97" s="105">
        <f t="shared" si="22"/>
        <v>0</v>
      </c>
    </row>
    <row r="98" spans="1:8" ht="28.5" customHeight="1">
      <c r="A98" s="275"/>
      <c r="B98" s="304" t="s">
        <v>172</v>
      </c>
      <c r="C98" s="276"/>
      <c r="D98" s="64">
        <v>1.3</v>
      </c>
      <c r="E98" s="64">
        <v>51.6</v>
      </c>
      <c r="F98" s="64">
        <v>6</v>
      </c>
      <c r="G98" s="105">
        <f t="shared" si="21"/>
        <v>-45.6</v>
      </c>
      <c r="H98" s="105">
        <f t="shared" si="22"/>
        <v>11.627906976744185</v>
      </c>
    </row>
    <row r="99" spans="1:8" ht="30.75" customHeight="1">
      <c r="A99" s="275"/>
      <c r="B99" s="304" t="s">
        <v>173</v>
      </c>
      <c r="C99" s="276"/>
      <c r="D99" s="64">
        <v>22.8</v>
      </c>
      <c r="E99" s="64">
        <v>1034</v>
      </c>
      <c r="F99" s="64">
        <f>9.8-0.7</f>
        <v>9.1000000000000014</v>
      </c>
      <c r="G99" s="105">
        <f t="shared" si="21"/>
        <v>-1024.9000000000001</v>
      </c>
      <c r="H99" s="105">
        <f t="shared" si="22"/>
        <v>0.88007736943907167</v>
      </c>
    </row>
    <row r="100" spans="1:8" ht="25.5" customHeight="1">
      <c r="A100" s="275"/>
      <c r="B100" s="304" t="s">
        <v>174</v>
      </c>
      <c r="C100" s="276"/>
      <c r="D100" s="64">
        <v>0.8</v>
      </c>
      <c r="E100" s="64">
        <v>2</v>
      </c>
      <c r="F100" s="64"/>
      <c r="G100" s="105">
        <f t="shared" si="21"/>
        <v>-2</v>
      </c>
      <c r="H100" s="105">
        <f t="shared" si="22"/>
        <v>0</v>
      </c>
    </row>
    <row r="101" spans="1:8" ht="28.5" customHeight="1">
      <c r="A101" s="275"/>
      <c r="B101" s="304" t="s">
        <v>249</v>
      </c>
      <c r="C101" s="276"/>
      <c r="D101" s="64"/>
      <c r="E101" s="64">
        <v>3</v>
      </c>
      <c r="F101" s="64">
        <v>1.6</v>
      </c>
      <c r="G101" s="105">
        <f t="shared" si="21"/>
        <v>-1.4</v>
      </c>
      <c r="H101" s="105">
        <f t="shared" si="22"/>
        <v>53.333333333333336</v>
      </c>
    </row>
    <row r="102" spans="1:8" ht="28.5" customHeight="1">
      <c r="A102" s="275"/>
      <c r="B102" s="304" t="s">
        <v>263</v>
      </c>
      <c r="C102" s="276"/>
      <c r="D102" s="64">
        <v>4</v>
      </c>
      <c r="E102" s="64"/>
      <c r="F102" s="64"/>
      <c r="G102" s="105">
        <f t="shared" si="21"/>
        <v>0</v>
      </c>
      <c r="H102" s="278" t="e">
        <f t="shared" si="22"/>
        <v>#DIV/0!</v>
      </c>
    </row>
    <row r="103" spans="1:8" ht="32.25" customHeight="1">
      <c r="A103" s="275"/>
      <c r="B103" s="167" t="s">
        <v>175</v>
      </c>
      <c r="C103" s="276"/>
      <c r="D103" s="64">
        <v>6.8</v>
      </c>
      <c r="E103" s="64">
        <v>7</v>
      </c>
      <c r="F103" s="64"/>
      <c r="G103" s="105">
        <f t="shared" si="21"/>
        <v>-7</v>
      </c>
      <c r="H103" s="105">
        <f t="shared" si="22"/>
        <v>0</v>
      </c>
    </row>
    <row r="104" spans="1:8" ht="29.25" customHeight="1">
      <c r="A104" s="290" t="s">
        <v>345</v>
      </c>
      <c r="B104" s="305" t="s">
        <v>91</v>
      </c>
      <c r="C104" s="306">
        <v>1020</v>
      </c>
      <c r="D104" s="61">
        <f>D105+D109</f>
        <v>172.40000000000003</v>
      </c>
      <c r="E104" s="61">
        <f>E105+E109</f>
        <v>65.599999999999994</v>
      </c>
      <c r="F104" s="61">
        <f>F105+F109</f>
        <v>65.8</v>
      </c>
      <c r="G104" s="104">
        <f t="shared" si="21"/>
        <v>0.20000000000000284</v>
      </c>
      <c r="H104" s="104">
        <f t="shared" si="22"/>
        <v>100.30487804878049</v>
      </c>
    </row>
    <row r="105" spans="1:8" ht="27" customHeight="1">
      <c r="A105" s="270" t="s">
        <v>346</v>
      </c>
      <c r="B105" s="299" t="s">
        <v>105</v>
      </c>
      <c r="C105" s="272">
        <v>1021</v>
      </c>
      <c r="D105" s="80">
        <f>SUM(D106:D108)</f>
        <v>49.300000000000004</v>
      </c>
      <c r="E105" s="80">
        <f>SUM(E106:E107)</f>
        <v>52</v>
      </c>
      <c r="F105" s="80">
        <f>SUM(F106:F108)</f>
        <v>13.600000000000001</v>
      </c>
      <c r="G105" s="273">
        <f t="shared" si="21"/>
        <v>-38.4</v>
      </c>
      <c r="H105" s="273">
        <f t="shared" si="22"/>
        <v>26.153846153846157</v>
      </c>
    </row>
    <row r="106" spans="1:8" ht="40.5" customHeight="1">
      <c r="A106" s="270"/>
      <c r="B106" s="167" t="s">
        <v>161</v>
      </c>
      <c r="C106" s="276"/>
      <c r="D106" s="64">
        <v>35.6</v>
      </c>
      <c r="E106" s="64">
        <v>52</v>
      </c>
      <c r="F106" s="64">
        <v>2.7</v>
      </c>
      <c r="G106" s="105">
        <f t="shared" si="21"/>
        <v>-49.3</v>
      </c>
      <c r="H106" s="105">
        <f t="shared" si="22"/>
        <v>5.1923076923076925</v>
      </c>
    </row>
    <row r="107" spans="1:8" ht="27" customHeight="1">
      <c r="A107" s="270"/>
      <c r="B107" s="84" t="s">
        <v>162</v>
      </c>
      <c r="C107" s="276"/>
      <c r="D107" s="64">
        <v>5.7</v>
      </c>
      <c r="E107" s="64"/>
      <c r="F107" s="64">
        <v>10.9</v>
      </c>
      <c r="G107" s="105">
        <f t="shared" si="21"/>
        <v>10.9</v>
      </c>
      <c r="H107" s="278" t="e">
        <f t="shared" si="22"/>
        <v>#DIV/0!</v>
      </c>
    </row>
    <row r="108" spans="1:8" ht="27" customHeight="1">
      <c r="A108" s="270"/>
      <c r="B108" s="84" t="s">
        <v>504</v>
      </c>
      <c r="C108" s="276"/>
      <c r="D108" s="64">
        <v>8</v>
      </c>
      <c r="E108" s="64"/>
      <c r="F108" s="64"/>
      <c r="G108" s="105">
        <f t="shared" si="21"/>
        <v>0</v>
      </c>
      <c r="H108" s="278" t="e">
        <f t="shared" si="22"/>
        <v>#DIV/0!</v>
      </c>
    </row>
    <row r="109" spans="1:8" ht="27" customHeight="1">
      <c r="A109" s="270" t="s">
        <v>417</v>
      </c>
      <c r="B109" s="299" t="s">
        <v>176</v>
      </c>
      <c r="C109" s="272">
        <v>1025</v>
      </c>
      <c r="D109" s="80">
        <f>SUM(D110:D122)</f>
        <v>123.10000000000002</v>
      </c>
      <c r="E109" s="80">
        <f>SUM(E111:E122)</f>
        <v>13.6</v>
      </c>
      <c r="F109" s="80">
        <f>SUM(F111:F122)</f>
        <v>52.199999999999996</v>
      </c>
      <c r="G109" s="273">
        <f t="shared" si="21"/>
        <v>38.599999999999994</v>
      </c>
      <c r="H109" s="273">
        <f t="shared" si="22"/>
        <v>383.8235294117647</v>
      </c>
    </row>
    <row r="110" spans="1:8" ht="27" customHeight="1">
      <c r="A110" s="290"/>
      <c r="B110" s="84" t="s">
        <v>144</v>
      </c>
      <c r="C110" s="306"/>
      <c r="D110" s="64">
        <v>2.9</v>
      </c>
      <c r="E110" s="61"/>
      <c r="F110" s="61"/>
      <c r="G110" s="105">
        <f t="shared" si="21"/>
        <v>0</v>
      </c>
      <c r="H110" s="278" t="e">
        <f t="shared" si="22"/>
        <v>#DIV/0!</v>
      </c>
    </row>
    <row r="111" spans="1:8" ht="24.75" customHeight="1">
      <c r="A111" s="282"/>
      <c r="B111" s="83" t="s">
        <v>152</v>
      </c>
      <c r="C111" s="276"/>
      <c r="D111" s="64">
        <v>4.7</v>
      </c>
      <c r="E111" s="64">
        <v>13.6</v>
      </c>
      <c r="F111" s="64">
        <f>34.5-2.1+11.6</f>
        <v>44</v>
      </c>
      <c r="G111" s="105">
        <f t="shared" si="21"/>
        <v>30.4</v>
      </c>
      <c r="H111" s="105">
        <f t="shared" si="22"/>
        <v>323.52941176470591</v>
      </c>
    </row>
    <row r="112" spans="1:8" ht="24.75" customHeight="1">
      <c r="A112" s="282"/>
      <c r="B112" s="83" t="s">
        <v>165</v>
      </c>
      <c r="C112" s="276"/>
      <c r="D112" s="64">
        <v>16.899999999999999</v>
      </c>
      <c r="E112" s="64"/>
      <c r="F112" s="64"/>
      <c r="G112" s="105">
        <f t="shared" si="21"/>
        <v>0</v>
      </c>
      <c r="H112" s="278" t="e">
        <f t="shared" si="22"/>
        <v>#DIV/0!</v>
      </c>
    </row>
    <row r="113" spans="1:8" ht="24.75" customHeight="1">
      <c r="A113" s="282"/>
      <c r="B113" s="83" t="s">
        <v>164</v>
      </c>
      <c r="C113" s="276"/>
      <c r="D113" s="64">
        <v>54.4</v>
      </c>
      <c r="E113" s="64"/>
      <c r="F113" s="64"/>
      <c r="G113" s="105">
        <f t="shared" si="21"/>
        <v>0</v>
      </c>
      <c r="H113" s="278" t="e">
        <f t="shared" si="22"/>
        <v>#DIV/0!</v>
      </c>
    </row>
    <row r="114" spans="1:8" ht="24.75" customHeight="1">
      <c r="A114" s="282"/>
      <c r="B114" s="83" t="s">
        <v>151</v>
      </c>
      <c r="C114" s="276"/>
      <c r="D114" s="64">
        <v>4.0999999999999996</v>
      </c>
      <c r="E114" s="64"/>
      <c r="F114" s="64"/>
      <c r="G114" s="105">
        <f t="shared" si="21"/>
        <v>0</v>
      </c>
      <c r="H114" s="278" t="e">
        <f t="shared" si="22"/>
        <v>#DIV/0!</v>
      </c>
    </row>
    <row r="115" spans="1:8" ht="24.75" customHeight="1">
      <c r="A115" s="282"/>
      <c r="B115" s="83" t="s">
        <v>505</v>
      </c>
      <c r="C115" s="276"/>
      <c r="D115" s="64">
        <v>4.4000000000000004</v>
      </c>
      <c r="E115" s="64"/>
      <c r="F115" s="64"/>
      <c r="G115" s="105">
        <f t="shared" si="21"/>
        <v>0</v>
      </c>
      <c r="H115" s="278" t="e">
        <f t="shared" si="22"/>
        <v>#DIV/0!</v>
      </c>
    </row>
    <row r="116" spans="1:8" ht="24.75" customHeight="1">
      <c r="A116" s="282"/>
      <c r="B116" s="83" t="s">
        <v>170</v>
      </c>
      <c r="C116" s="276"/>
      <c r="D116" s="64">
        <v>4.7</v>
      </c>
      <c r="E116" s="64"/>
      <c r="F116" s="64"/>
      <c r="G116" s="105">
        <f t="shared" si="21"/>
        <v>0</v>
      </c>
      <c r="H116" s="278" t="e">
        <f t="shared" si="22"/>
        <v>#DIV/0!</v>
      </c>
    </row>
    <row r="117" spans="1:8" ht="24.75" customHeight="1">
      <c r="A117" s="282"/>
      <c r="B117" s="83" t="s">
        <v>249</v>
      </c>
      <c r="C117" s="276"/>
      <c r="D117" s="64">
        <v>3.9</v>
      </c>
      <c r="E117" s="64"/>
      <c r="F117" s="64"/>
      <c r="G117" s="105">
        <f t="shared" si="21"/>
        <v>0</v>
      </c>
      <c r="H117" s="278" t="e">
        <f t="shared" si="22"/>
        <v>#DIV/0!</v>
      </c>
    </row>
    <row r="118" spans="1:8" ht="24.75" customHeight="1">
      <c r="A118" s="282"/>
      <c r="B118" s="168" t="s">
        <v>158</v>
      </c>
      <c r="C118" s="276"/>
      <c r="D118" s="64">
        <v>1.5</v>
      </c>
      <c r="E118" s="64"/>
      <c r="F118" s="64">
        <v>4.5999999999999996</v>
      </c>
      <c r="G118" s="105">
        <f t="shared" si="21"/>
        <v>4.5999999999999996</v>
      </c>
      <c r="H118" s="278" t="e">
        <f t="shared" si="22"/>
        <v>#DIV/0!</v>
      </c>
    </row>
    <row r="119" spans="1:8" ht="24.75" customHeight="1">
      <c r="A119" s="282"/>
      <c r="B119" s="168" t="s">
        <v>246</v>
      </c>
      <c r="C119" s="276"/>
      <c r="D119" s="64">
        <v>1.7</v>
      </c>
      <c r="E119" s="64"/>
      <c r="F119" s="64"/>
      <c r="G119" s="105">
        <f t="shared" si="21"/>
        <v>0</v>
      </c>
      <c r="H119" s="278" t="e">
        <f t="shared" si="22"/>
        <v>#DIV/0!</v>
      </c>
    </row>
    <row r="120" spans="1:8" ht="24.75" customHeight="1">
      <c r="A120" s="282"/>
      <c r="B120" s="168" t="s">
        <v>273</v>
      </c>
      <c r="C120" s="276"/>
      <c r="D120" s="64">
        <v>23.9</v>
      </c>
      <c r="E120" s="64"/>
      <c r="F120" s="64"/>
      <c r="G120" s="105">
        <f t="shared" si="21"/>
        <v>0</v>
      </c>
      <c r="H120" s="278" t="e">
        <f t="shared" si="22"/>
        <v>#DIV/0!</v>
      </c>
    </row>
    <row r="121" spans="1:8" ht="24.75" customHeight="1">
      <c r="A121" s="282"/>
      <c r="B121" s="168" t="s">
        <v>601</v>
      </c>
      <c r="C121" s="276"/>
      <c r="D121" s="64"/>
      <c r="E121" s="64"/>
      <c r="F121" s="64">
        <v>1.3</v>
      </c>
      <c r="G121" s="105">
        <f t="shared" si="21"/>
        <v>1.3</v>
      </c>
      <c r="H121" s="278" t="e">
        <f t="shared" si="22"/>
        <v>#DIV/0!</v>
      </c>
    </row>
    <row r="122" spans="1:8" ht="24.75" customHeight="1">
      <c r="A122" s="282"/>
      <c r="B122" s="83" t="s">
        <v>200</v>
      </c>
      <c r="C122" s="276"/>
      <c r="D122" s="64"/>
      <c r="E122" s="64"/>
      <c r="F122" s="64">
        <v>2.2999999999999998</v>
      </c>
      <c r="G122" s="105">
        <f t="shared" si="21"/>
        <v>2.2999999999999998</v>
      </c>
      <c r="H122" s="278" t="e">
        <f t="shared" si="22"/>
        <v>#DIV/0!</v>
      </c>
    </row>
    <row r="123" spans="1:8" ht="24.75" customHeight="1">
      <c r="A123" s="270" t="s">
        <v>418</v>
      </c>
      <c r="B123" s="307" t="s">
        <v>92</v>
      </c>
      <c r="C123" s="272">
        <v>1030</v>
      </c>
      <c r="D123" s="61">
        <f>D124</f>
        <v>99.7</v>
      </c>
      <c r="E123" s="61">
        <f>E124</f>
        <v>116.4</v>
      </c>
      <c r="F123" s="61">
        <f>F124</f>
        <v>17.100000000000001</v>
      </c>
      <c r="G123" s="104">
        <f t="shared" si="21"/>
        <v>-99.300000000000011</v>
      </c>
      <c r="H123" s="104">
        <f t="shared" si="22"/>
        <v>14.690721649484537</v>
      </c>
    </row>
    <row r="124" spans="1:8" ht="24.75" customHeight="1">
      <c r="A124" s="290" t="s">
        <v>419</v>
      </c>
      <c r="B124" s="291" t="s">
        <v>92</v>
      </c>
      <c r="C124" s="295">
        <v>1035</v>
      </c>
      <c r="D124" s="61">
        <f>SUM(D125:D127)</f>
        <v>99.7</v>
      </c>
      <c r="E124" s="61">
        <f>SUM(E125:E126)</f>
        <v>116.4</v>
      </c>
      <c r="F124" s="61">
        <f>SUM(F125:F126)</f>
        <v>17.100000000000001</v>
      </c>
      <c r="G124" s="104">
        <f t="shared" si="21"/>
        <v>-99.300000000000011</v>
      </c>
      <c r="H124" s="104">
        <f t="shared" si="22"/>
        <v>14.690721649484537</v>
      </c>
    </row>
    <row r="125" spans="1:8" ht="24.75" customHeight="1">
      <c r="A125" s="269"/>
      <c r="B125" s="167" t="s">
        <v>216</v>
      </c>
      <c r="C125" s="276"/>
      <c r="D125" s="64">
        <v>90.8</v>
      </c>
      <c r="E125" s="64">
        <v>98.4</v>
      </c>
      <c r="F125" s="64"/>
      <c r="G125" s="105">
        <f t="shared" si="21"/>
        <v>-98.4</v>
      </c>
      <c r="H125" s="105">
        <f t="shared" si="22"/>
        <v>0</v>
      </c>
    </row>
    <row r="126" spans="1:8" ht="24.75" customHeight="1">
      <c r="A126" s="269"/>
      <c r="B126" s="167" t="s">
        <v>684</v>
      </c>
      <c r="C126" s="276"/>
      <c r="D126" s="64">
        <v>7.7</v>
      </c>
      <c r="E126" s="64">
        <v>18</v>
      </c>
      <c r="F126" s="64">
        <v>17.100000000000001</v>
      </c>
      <c r="G126" s="105">
        <f t="shared" si="21"/>
        <v>-0.89999999999999858</v>
      </c>
      <c r="H126" s="105">
        <f t="shared" si="22"/>
        <v>95</v>
      </c>
    </row>
    <row r="127" spans="1:8" ht="24.75" customHeight="1">
      <c r="A127" s="269"/>
      <c r="B127" s="167" t="s">
        <v>269</v>
      </c>
      <c r="C127" s="276"/>
      <c r="D127" s="64">
        <v>1.2</v>
      </c>
      <c r="E127" s="64"/>
      <c r="F127" s="64"/>
      <c r="G127" s="105">
        <f t="shared" si="21"/>
        <v>0</v>
      </c>
      <c r="H127" s="278" t="e">
        <f t="shared" si="22"/>
        <v>#DIV/0!</v>
      </c>
    </row>
    <row r="128" spans="1:8" ht="30" customHeight="1">
      <c r="A128" s="308" t="s">
        <v>237</v>
      </c>
      <c r="B128" s="309" t="s">
        <v>177</v>
      </c>
      <c r="C128" s="101"/>
      <c r="D128" s="61">
        <f>D130+D148</f>
        <v>349.7</v>
      </c>
      <c r="E128" s="61">
        <f>E130</f>
        <v>600</v>
      </c>
      <c r="F128" s="61">
        <f>F130</f>
        <v>48.9</v>
      </c>
      <c r="G128" s="105">
        <f t="shared" si="21"/>
        <v>-551.1</v>
      </c>
      <c r="H128" s="105">
        <f t="shared" si="22"/>
        <v>8.15</v>
      </c>
    </row>
    <row r="129" spans="1:17" ht="24.75" customHeight="1">
      <c r="A129" s="275"/>
      <c r="B129" s="268" t="s">
        <v>85</v>
      </c>
      <c r="C129" s="306"/>
      <c r="D129" s="64"/>
      <c r="E129" s="64"/>
      <c r="F129" s="64"/>
      <c r="G129" s="105"/>
      <c r="H129" s="105"/>
    </row>
    <row r="130" spans="1:17" ht="24.75" customHeight="1">
      <c r="A130" s="290" t="s">
        <v>238</v>
      </c>
      <c r="B130" s="59" t="s">
        <v>89</v>
      </c>
      <c r="C130" s="306">
        <v>1010</v>
      </c>
      <c r="D130" s="61">
        <f>D131+D137+D138+D139</f>
        <v>345.8</v>
      </c>
      <c r="E130" s="61">
        <f>E131+E137+E138+E139</f>
        <v>600</v>
      </c>
      <c r="F130" s="61">
        <f>F131+F137+F138+F139</f>
        <v>48.9</v>
      </c>
      <c r="G130" s="104">
        <f t="shared" si="21"/>
        <v>-551.1</v>
      </c>
      <c r="H130" s="104">
        <f t="shared" si="22"/>
        <v>8.15</v>
      </c>
    </row>
    <row r="131" spans="1:17" ht="24.75" customHeight="1">
      <c r="A131" s="310" t="s">
        <v>239</v>
      </c>
      <c r="B131" s="271" t="s">
        <v>105</v>
      </c>
      <c r="C131" s="272">
        <v>1011</v>
      </c>
      <c r="D131" s="80">
        <f>SUM(D132:D136)</f>
        <v>250.3</v>
      </c>
      <c r="E131" s="80">
        <f>SUM(E132:E135)</f>
        <v>173.20000000000002</v>
      </c>
      <c r="F131" s="80">
        <f>SUM(F132:F136)</f>
        <v>6.8000000000000007</v>
      </c>
      <c r="G131" s="273">
        <f t="shared" si="21"/>
        <v>-166.4</v>
      </c>
      <c r="H131" s="273">
        <f t="shared" si="22"/>
        <v>3.9260969976905313</v>
      </c>
    </row>
    <row r="132" spans="1:17" ht="24.75" customHeight="1">
      <c r="A132" s="310"/>
      <c r="B132" s="167" t="s">
        <v>138</v>
      </c>
      <c r="C132" s="276"/>
      <c r="D132" s="64">
        <v>133.80000000000001</v>
      </c>
      <c r="E132" s="64">
        <v>155.80000000000001</v>
      </c>
      <c r="F132" s="64">
        <v>1.9</v>
      </c>
      <c r="G132" s="105">
        <f t="shared" si="21"/>
        <v>-153.9</v>
      </c>
      <c r="H132" s="105">
        <f t="shared" si="22"/>
        <v>1.2195121951219512</v>
      </c>
      <c r="Q132" s="311"/>
    </row>
    <row r="133" spans="1:17" ht="24.75" customHeight="1">
      <c r="A133" s="310"/>
      <c r="B133" s="167" t="s">
        <v>270</v>
      </c>
      <c r="C133" s="276"/>
      <c r="D133" s="64">
        <v>49.9</v>
      </c>
      <c r="E133" s="64"/>
      <c r="F133" s="64"/>
      <c r="G133" s="105">
        <f t="shared" si="21"/>
        <v>0</v>
      </c>
      <c r="H133" s="278" t="e">
        <f t="shared" si="22"/>
        <v>#DIV/0!</v>
      </c>
    </row>
    <row r="134" spans="1:17" ht="24.75" customHeight="1">
      <c r="A134" s="310"/>
      <c r="B134" s="167" t="s">
        <v>178</v>
      </c>
      <c r="C134" s="276"/>
      <c r="D134" s="64">
        <v>11.6</v>
      </c>
      <c r="E134" s="64">
        <v>8.8000000000000007</v>
      </c>
      <c r="F134" s="64">
        <v>4.5</v>
      </c>
      <c r="G134" s="105">
        <f t="shared" ref="G134:G197" si="23">F134-E134</f>
        <v>-4.3000000000000007</v>
      </c>
      <c r="H134" s="105">
        <f t="shared" ref="H134:H197" si="24">(F134/E134)*100</f>
        <v>51.136363636363633</v>
      </c>
    </row>
    <row r="135" spans="1:17" ht="37.5" customHeight="1">
      <c r="A135" s="310"/>
      <c r="B135" s="167" t="s">
        <v>161</v>
      </c>
      <c r="C135" s="276"/>
      <c r="D135" s="64">
        <v>2.2000000000000002</v>
      </c>
      <c r="E135" s="64">
        <v>8.6</v>
      </c>
      <c r="F135" s="64">
        <v>0.4</v>
      </c>
      <c r="G135" s="105">
        <f t="shared" si="23"/>
        <v>-8.1999999999999993</v>
      </c>
      <c r="H135" s="105">
        <f t="shared" si="24"/>
        <v>4.6511627906976747</v>
      </c>
    </row>
    <row r="136" spans="1:17" ht="26.25" customHeight="1">
      <c r="A136" s="310"/>
      <c r="B136" s="167" t="s">
        <v>504</v>
      </c>
      <c r="C136" s="276"/>
      <c r="D136" s="64">
        <v>52.8</v>
      </c>
      <c r="E136" s="64"/>
      <c r="F136" s="64"/>
      <c r="G136" s="105">
        <f t="shared" si="23"/>
        <v>0</v>
      </c>
      <c r="H136" s="278" t="e">
        <f t="shared" si="24"/>
        <v>#DIV/0!</v>
      </c>
      <c r="K136" s="66"/>
    </row>
    <row r="137" spans="1:17" ht="24.75" customHeight="1">
      <c r="A137" s="270" t="s">
        <v>347</v>
      </c>
      <c r="B137" s="271" t="s">
        <v>2</v>
      </c>
      <c r="C137" s="272">
        <v>1012</v>
      </c>
      <c r="D137" s="80">
        <v>27.9</v>
      </c>
      <c r="E137" s="80">
        <v>330</v>
      </c>
      <c r="F137" s="80">
        <v>25.5</v>
      </c>
      <c r="G137" s="273">
        <f t="shared" si="23"/>
        <v>-304.5</v>
      </c>
      <c r="H137" s="273">
        <f t="shared" si="24"/>
        <v>7.7272727272727266</v>
      </c>
      <c r="K137" s="66"/>
    </row>
    <row r="138" spans="1:17" ht="24.75" customHeight="1">
      <c r="A138" s="270" t="s">
        <v>422</v>
      </c>
      <c r="B138" s="271" t="s">
        <v>3</v>
      </c>
      <c r="C138" s="272">
        <v>1013</v>
      </c>
      <c r="D138" s="80">
        <v>6.1</v>
      </c>
      <c r="E138" s="80">
        <v>71</v>
      </c>
      <c r="F138" s="80">
        <v>5.2</v>
      </c>
      <c r="G138" s="273">
        <f t="shared" si="23"/>
        <v>-65.8</v>
      </c>
      <c r="H138" s="273">
        <f t="shared" si="24"/>
        <v>7.323943661971831</v>
      </c>
    </row>
    <row r="139" spans="1:17" ht="24.75" customHeight="1">
      <c r="A139" s="310" t="s">
        <v>423</v>
      </c>
      <c r="B139" s="170" t="s">
        <v>179</v>
      </c>
      <c r="C139" s="173">
        <v>1015</v>
      </c>
      <c r="D139" s="80">
        <f>SUM(D140:D147)</f>
        <v>61.499999999999993</v>
      </c>
      <c r="E139" s="80">
        <f>SUM(E140:E147)</f>
        <v>25.8</v>
      </c>
      <c r="F139" s="80">
        <f>SUM(F140:F147)</f>
        <v>11.4</v>
      </c>
      <c r="G139" s="273">
        <f t="shared" si="23"/>
        <v>-14.4</v>
      </c>
      <c r="H139" s="273">
        <f t="shared" si="24"/>
        <v>44.186046511627907</v>
      </c>
    </row>
    <row r="140" spans="1:17" ht="24.75" customHeight="1">
      <c r="A140" s="312"/>
      <c r="B140" s="65" t="s">
        <v>180</v>
      </c>
      <c r="C140" s="55"/>
      <c r="D140" s="64">
        <v>1.5</v>
      </c>
      <c r="E140" s="64">
        <v>12</v>
      </c>
      <c r="F140" s="64"/>
      <c r="G140" s="105">
        <f t="shared" si="23"/>
        <v>-12</v>
      </c>
      <c r="H140" s="105">
        <f t="shared" si="24"/>
        <v>0</v>
      </c>
    </row>
    <row r="141" spans="1:17" ht="24.75" customHeight="1">
      <c r="A141" s="312"/>
      <c r="B141" s="65" t="s">
        <v>248</v>
      </c>
      <c r="C141" s="55"/>
      <c r="D141" s="64">
        <v>17</v>
      </c>
      <c r="E141" s="64">
        <v>5.7</v>
      </c>
      <c r="F141" s="64"/>
      <c r="G141" s="105">
        <f t="shared" si="23"/>
        <v>-5.7</v>
      </c>
      <c r="H141" s="105">
        <f t="shared" si="24"/>
        <v>0</v>
      </c>
    </row>
    <row r="142" spans="1:17" ht="24.75" customHeight="1">
      <c r="A142" s="312"/>
      <c r="B142" s="167" t="s">
        <v>152</v>
      </c>
      <c r="C142" s="55"/>
      <c r="D142" s="64">
        <v>0.4</v>
      </c>
      <c r="E142" s="64">
        <v>6.4</v>
      </c>
      <c r="F142" s="64">
        <v>0.2</v>
      </c>
      <c r="G142" s="105">
        <f t="shared" si="23"/>
        <v>-6.2</v>
      </c>
      <c r="H142" s="105">
        <f t="shared" si="24"/>
        <v>3.125</v>
      </c>
    </row>
    <row r="143" spans="1:17" ht="24.75" customHeight="1">
      <c r="A143" s="312"/>
      <c r="B143" s="167" t="s">
        <v>181</v>
      </c>
      <c r="C143" s="55"/>
      <c r="D143" s="64">
        <v>0.4</v>
      </c>
      <c r="E143" s="64">
        <v>1.7</v>
      </c>
      <c r="F143" s="64"/>
      <c r="G143" s="105">
        <f t="shared" si="23"/>
        <v>-1.7</v>
      </c>
      <c r="H143" s="105">
        <f t="shared" si="24"/>
        <v>0</v>
      </c>
    </row>
    <row r="144" spans="1:17" ht="24.75" customHeight="1">
      <c r="A144" s="312"/>
      <c r="B144" s="167" t="s">
        <v>505</v>
      </c>
      <c r="C144" s="55"/>
      <c r="D144" s="64">
        <v>18</v>
      </c>
      <c r="E144" s="64"/>
      <c r="F144" s="64"/>
      <c r="G144" s="105">
        <f t="shared" si="23"/>
        <v>0</v>
      </c>
      <c r="H144" s="278" t="e">
        <f t="shared" si="24"/>
        <v>#DIV/0!</v>
      </c>
    </row>
    <row r="145" spans="1:13" ht="24.75" customHeight="1">
      <c r="A145" s="312"/>
      <c r="B145" s="167" t="s">
        <v>171</v>
      </c>
      <c r="C145" s="55"/>
      <c r="D145" s="64">
        <v>20.8</v>
      </c>
      <c r="E145" s="64"/>
      <c r="F145" s="64">
        <v>3.8</v>
      </c>
      <c r="G145" s="105">
        <f t="shared" si="23"/>
        <v>3.8</v>
      </c>
      <c r="H145" s="278" t="e">
        <f t="shared" si="24"/>
        <v>#DIV/0!</v>
      </c>
      <c r="L145" s="66"/>
    </row>
    <row r="146" spans="1:13" ht="24.75" customHeight="1">
      <c r="A146" s="312"/>
      <c r="B146" s="167" t="s">
        <v>172</v>
      </c>
      <c r="C146" s="55"/>
      <c r="D146" s="64">
        <v>3.4</v>
      </c>
      <c r="E146" s="64"/>
      <c r="F146" s="64">
        <v>1.2</v>
      </c>
      <c r="G146" s="105">
        <f t="shared" si="23"/>
        <v>1.2</v>
      </c>
      <c r="H146" s="278" t="e">
        <f t="shared" si="24"/>
        <v>#DIV/0!</v>
      </c>
    </row>
    <row r="147" spans="1:13" ht="24.75" customHeight="1">
      <c r="A147" s="312"/>
      <c r="B147" s="167" t="s">
        <v>173</v>
      </c>
      <c r="C147" s="55"/>
      <c r="D147" s="64"/>
      <c r="E147" s="64"/>
      <c r="F147" s="64">
        <v>6.2</v>
      </c>
      <c r="G147" s="105">
        <f t="shared" si="23"/>
        <v>6.2</v>
      </c>
      <c r="H147" s="278" t="e">
        <f t="shared" si="24"/>
        <v>#DIV/0!</v>
      </c>
    </row>
    <row r="148" spans="1:13" ht="24.75" customHeight="1">
      <c r="A148" s="290" t="s">
        <v>611</v>
      </c>
      <c r="B148" s="313" t="s">
        <v>92</v>
      </c>
      <c r="C148" s="306">
        <v>1030</v>
      </c>
      <c r="D148" s="61">
        <f>D149</f>
        <v>3.9</v>
      </c>
      <c r="E148" s="61"/>
      <c r="F148" s="61"/>
      <c r="G148" s="104">
        <f t="shared" si="23"/>
        <v>0</v>
      </c>
      <c r="H148" s="292" t="e">
        <f t="shared" si="24"/>
        <v>#DIV/0!</v>
      </c>
    </row>
    <row r="149" spans="1:13" ht="24.75" customHeight="1">
      <c r="A149" s="270" t="s">
        <v>612</v>
      </c>
      <c r="B149" s="294" t="s">
        <v>92</v>
      </c>
      <c r="C149" s="279">
        <v>1035</v>
      </c>
      <c r="D149" s="80">
        <f>D150+D151</f>
        <v>3.9</v>
      </c>
      <c r="E149" s="80"/>
      <c r="F149" s="80"/>
      <c r="G149" s="273">
        <f t="shared" si="23"/>
        <v>0</v>
      </c>
      <c r="H149" s="280" t="e">
        <f t="shared" si="24"/>
        <v>#DIV/0!</v>
      </c>
    </row>
    <row r="150" spans="1:13" ht="24.75" customHeight="1">
      <c r="A150" s="312"/>
      <c r="B150" s="167" t="s">
        <v>246</v>
      </c>
      <c r="C150" s="55"/>
      <c r="D150" s="64">
        <v>0.6</v>
      </c>
      <c r="E150" s="64"/>
      <c r="F150" s="64"/>
      <c r="G150" s="105">
        <f t="shared" si="23"/>
        <v>0</v>
      </c>
      <c r="H150" s="278" t="e">
        <f t="shared" si="24"/>
        <v>#DIV/0!</v>
      </c>
    </row>
    <row r="151" spans="1:13" ht="24.75" customHeight="1">
      <c r="A151" s="312"/>
      <c r="B151" s="167" t="s">
        <v>266</v>
      </c>
      <c r="C151" s="55"/>
      <c r="D151" s="64">
        <v>3.3</v>
      </c>
      <c r="E151" s="64"/>
      <c r="F151" s="64"/>
      <c r="G151" s="105">
        <f t="shared" si="23"/>
        <v>0</v>
      </c>
      <c r="H151" s="278" t="e">
        <f t="shared" si="24"/>
        <v>#DIV/0!</v>
      </c>
    </row>
    <row r="152" spans="1:13" ht="46.5" customHeight="1">
      <c r="A152" s="308" t="s">
        <v>348</v>
      </c>
      <c r="B152" s="296" t="s">
        <v>255</v>
      </c>
      <c r="C152" s="101"/>
      <c r="D152" s="61">
        <f>D154+D166+D177</f>
        <v>106.10000000000001</v>
      </c>
      <c r="E152" s="61">
        <f>E154+E166+E177</f>
        <v>508</v>
      </c>
      <c r="F152" s="61">
        <f>F154+F166+F177</f>
        <v>210.7</v>
      </c>
      <c r="G152" s="104">
        <f t="shared" si="23"/>
        <v>-297.3</v>
      </c>
      <c r="H152" s="104">
        <f t="shared" si="24"/>
        <v>41.476377952755904</v>
      </c>
    </row>
    <row r="153" spans="1:13" ht="27" customHeight="1">
      <c r="A153" s="314"/>
      <c r="B153" s="268" t="s">
        <v>85</v>
      </c>
      <c r="C153" s="306"/>
      <c r="D153" s="64"/>
      <c r="E153" s="64"/>
      <c r="F153" s="64"/>
      <c r="G153" s="105"/>
      <c r="H153" s="105"/>
    </row>
    <row r="154" spans="1:13" ht="28.5" customHeight="1">
      <c r="A154" s="269" t="s">
        <v>349</v>
      </c>
      <c r="B154" s="59" t="s">
        <v>89</v>
      </c>
      <c r="C154" s="306">
        <v>1010</v>
      </c>
      <c r="D154" s="61">
        <f>D155+D159</f>
        <v>49.6</v>
      </c>
      <c r="E154" s="61">
        <f>E155+E159</f>
        <v>363</v>
      </c>
      <c r="F154" s="61">
        <f>F155+F159</f>
        <v>153.69999999999999</v>
      </c>
      <c r="G154" s="104">
        <f t="shared" si="23"/>
        <v>-209.3</v>
      </c>
      <c r="H154" s="104">
        <f t="shared" si="24"/>
        <v>42.341597796143247</v>
      </c>
    </row>
    <row r="155" spans="1:13" ht="30" customHeight="1">
      <c r="A155" s="270" t="s">
        <v>350</v>
      </c>
      <c r="B155" s="271" t="s">
        <v>105</v>
      </c>
      <c r="C155" s="272">
        <v>1011</v>
      </c>
      <c r="D155" s="80">
        <f>SUM(D156:D158)</f>
        <v>49.6</v>
      </c>
      <c r="E155" s="80">
        <f>SUM(E156:E157)</f>
        <v>238</v>
      </c>
      <c r="F155" s="80">
        <f>SUM(F156:F158)</f>
        <v>125.69999999999999</v>
      </c>
      <c r="G155" s="273">
        <f t="shared" si="23"/>
        <v>-112.30000000000001</v>
      </c>
      <c r="H155" s="273">
        <f t="shared" si="24"/>
        <v>52.815126050420162</v>
      </c>
    </row>
    <row r="156" spans="1:13" ht="24.75" customHeight="1">
      <c r="A156" s="270"/>
      <c r="B156" s="167" t="s">
        <v>162</v>
      </c>
      <c r="C156" s="276"/>
      <c r="D156" s="64"/>
      <c r="E156" s="64">
        <v>20</v>
      </c>
      <c r="F156" s="64">
        <f>2.1+5+10</f>
        <v>17.100000000000001</v>
      </c>
      <c r="G156" s="105">
        <f t="shared" si="23"/>
        <v>-2.8999999999999986</v>
      </c>
      <c r="H156" s="105">
        <f t="shared" si="24"/>
        <v>85.500000000000014</v>
      </c>
    </row>
    <row r="157" spans="1:13" ht="44.25" customHeight="1">
      <c r="A157" s="270"/>
      <c r="B157" s="167" t="s">
        <v>161</v>
      </c>
      <c r="C157" s="276"/>
      <c r="D157" s="64">
        <v>42.9</v>
      </c>
      <c r="E157" s="64">
        <v>218</v>
      </c>
      <c r="F157" s="64">
        <f>13.1+40+25+42.1-11.6</f>
        <v>108.6</v>
      </c>
      <c r="G157" s="105">
        <f t="shared" si="23"/>
        <v>-109.4</v>
      </c>
      <c r="H157" s="105">
        <f t="shared" si="24"/>
        <v>49.816513761467888</v>
      </c>
      <c r="K157" s="66"/>
    </row>
    <row r="158" spans="1:13" ht="25.5" customHeight="1">
      <c r="A158" s="270"/>
      <c r="B158" s="167" t="s">
        <v>504</v>
      </c>
      <c r="C158" s="276"/>
      <c r="D158" s="64">
        <v>6.7</v>
      </c>
      <c r="E158" s="64"/>
      <c r="F158" s="64"/>
      <c r="G158" s="105">
        <f t="shared" si="23"/>
        <v>0</v>
      </c>
      <c r="H158" s="278" t="e">
        <f t="shared" si="24"/>
        <v>#DIV/0!</v>
      </c>
      <c r="K158" s="66"/>
    </row>
    <row r="159" spans="1:13" ht="24.75" customHeight="1">
      <c r="A159" s="270" t="s">
        <v>424</v>
      </c>
      <c r="B159" s="294" t="s">
        <v>182</v>
      </c>
      <c r="C159" s="279">
        <v>1015</v>
      </c>
      <c r="D159" s="80">
        <f>SUM(D161:D165)</f>
        <v>0</v>
      </c>
      <c r="E159" s="80">
        <f>SUM(E161:E165)</f>
        <v>125</v>
      </c>
      <c r="F159" s="80">
        <f>SUM(F160:F165)</f>
        <v>28</v>
      </c>
      <c r="G159" s="273">
        <f t="shared" si="23"/>
        <v>-97</v>
      </c>
      <c r="H159" s="273">
        <f t="shared" si="24"/>
        <v>22.400000000000002</v>
      </c>
      <c r="M159" s="66"/>
    </row>
    <row r="160" spans="1:13" ht="24.75" customHeight="1">
      <c r="A160" s="290"/>
      <c r="B160" s="82" t="s">
        <v>686</v>
      </c>
      <c r="C160" s="283"/>
      <c r="D160" s="64"/>
      <c r="E160" s="64"/>
      <c r="F160" s="64">
        <v>9.5</v>
      </c>
      <c r="G160" s="105">
        <f t="shared" si="23"/>
        <v>9.5</v>
      </c>
      <c r="H160" s="278" t="e">
        <f t="shared" si="24"/>
        <v>#DIV/0!</v>
      </c>
      <c r="M160" s="66"/>
    </row>
    <row r="161" spans="1:11" ht="24.75" customHeight="1">
      <c r="A161" s="290"/>
      <c r="B161" s="167" t="s">
        <v>171</v>
      </c>
      <c r="C161" s="276"/>
      <c r="D161" s="64"/>
      <c r="E161" s="64"/>
      <c r="F161" s="64">
        <v>7.5</v>
      </c>
      <c r="G161" s="105">
        <f t="shared" si="23"/>
        <v>7.5</v>
      </c>
      <c r="H161" s="278" t="e">
        <f t="shared" si="24"/>
        <v>#DIV/0!</v>
      </c>
    </row>
    <row r="162" spans="1:11" ht="24.75" customHeight="1">
      <c r="A162" s="290"/>
      <c r="B162" s="167" t="s">
        <v>173</v>
      </c>
      <c r="C162" s="276"/>
      <c r="D162" s="64"/>
      <c r="E162" s="64"/>
      <c r="F162" s="64">
        <f>10.3+0.7</f>
        <v>11</v>
      </c>
      <c r="G162" s="105">
        <f t="shared" si="23"/>
        <v>11</v>
      </c>
      <c r="H162" s="278" t="e">
        <f t="shared" si="24"/>
        <v>#DIV/0!</v>
      </c>
    </row>
    <row r="163" spans="1:11" ht="24.75" customHeight="1">
      <c r="A163" s="290"/>
      <c r="B163" s="167" t="s">
        <v>262</v>
      </c>
      <c r="C163" s="276"/>
      <c r="D163" s="64"/>
      <c r="E163" s="64">
        <v>5</v>
      </c>
      <c r="F163" s="64"/>
      <c r="G163" s="105">
        <f t="shared" si="23"/>
        <v>-5</v>
      </c>
      <c r="H163" s="105">
        <f t="shared" si="24"/>
        <v>0</v>
      </c>
    </row>
    <row r="164" spans="1:11" ht="24.75" customHeight="1">
      <c r="A164" s="290"/>
      <c r="B164" s="167" t="s">
        <v>213</v>
      </c>
      <c r="C164" s="276"/>
      <c r="D164" s="64"/>
      <c r="E164" s="64">
        <v>120</v>
      </c>
      <c r="F164" s="64"/>
      <c r="G164" s="105">
        <f t="shared" si="23"/>
        <v>-120</v>
      </c>
      <c r="H164" s="105">
        <f t="shared" si="24"/>
        <v>0</v>
      </c>
    </row>
    <row r="165" spans="1:11" ht="24.75" customHeight="1">
      <c r="A165" s="144"/>
      <c r="B165" s="167" t="s">
        <v>271</v>
      </c>
      <c r="C165" s="58"/>
      <c r="D165" s="64"/>
      <c r="E165" s="64"/>
      <c r="F165" s="64"/>
      <c r="G165" s="105">
        <f t="shared" si="23"/>
        <v>0</v>
      </c>
      <c r="H165" s="278" t="e">
        <f t="shared" si="24"/>
        <v>#DIV/0!</v>
      </c>
    </row>
    <row r="166" spans="1:11" ht="24.75" customHeight="1">
      <c r="A166" s="310" t="s">
        <v>420</v>
      </c>
      <c r="B166" s="294" t="s">
        <v>91</v>
      </c>
      <c r="C166" s="272">
        <v>1020</v>
      </c>
      <c r="D166" s="61">
        <f>D167</f>
        <v>54.6</v>
      </c>
      <c r="E166" s="61">
        <f>E167</f>
        <v>53</v>
      </c>
      <c r="F166" s="61">
        <f>F167</f>
        <v>56.3</v>
      </c>
      <c r="G166" s="104">
        <f t="shared" si="23"/>
        <v>3.2999999999999972</v>
      </c>
      <c r="H166" s="104">
        <f t="shared" si="24"/>
        <v>106.22641509433961</v>
      </c>
    </row>
    <row r="167" spans="1:11" ht="24.75" customHeight="1">
      <c r="A167" s="270" t="s">
        <v>425</v>
      </c>
      <c r="B167" s="299" t="s">
        <v>176</v>
      </c>
      <c r="C167" s="272">
        <v>1025</v>
      </c>
      <c r="D167" s="80">
        <f>SUM(D168:D176)</f>
        <v>54.6</v>
      </c>
      <c r="E167" s="80">
        <f>SUM(E168:E176)</f>
        <v>53</v>
      </c>
      <c r="F167" s="80">
        <f>SUM(F168:F176)</f>
        <v>56.3</v>
      </c>
      <c r="G167" s="273">
        <f t="shared" si="23"/>
        <v>3.2999999999999972</v>
      </c>
      <c r="H167" s="273">
        <f t="shared" si="24"/>
        <v>106.22641509433961</v>
      </c>
    </row>
    <row r="168" spans="1:11" ht="26.25" customHeight="1">
      <c r="A168" s="290"/>
      <c r="B168" s="84" t="s">
        <v>165</v>
      </c>
      <c r="C168" s="276"/>
      <c r="D168" s="64"/>
      <c r="E168" s="64">
        <v>28</v>
      </c>
      <c r="F168" s="64">
        <v>0.6</v>
      </c>
      <c r="G168" s="105">
        <f t="shared" si="23"/>
        <v>-27.4</v>
      </c>
      <c r="H168" s="105">
        <f t="shared" si="24"/>
        <v>2.1428571428571428</v>
      </c>
    </row>
    <row r="169" spans="1:11" ht="24.75" customHeight="1">
      <c r="A169" s="290"/>
      <c r="B169" s="84" t="s">
        <v>506</v>
      </c>
      <c r="C169" s="276"/>
      <c r="D169" s="64">
        <v>8.6</v>
      </c>
      <c r="E169" s="64"/>
      <c r="F169" s="64"/>
      <c r="G169" s="105">
        <f t="shared" si="23"/>
        <v>0</v>
      </c>
      <c r="H169" s="278" t="e">
        <f t="shared" si="24"/>
        <v>#DIV/0!</v>
      </c>
    </row>
    <row r="170" spans="1:11" ht="39.75" customHeight="1">
      <c r="A170" s="290"/>
      <c r="B170" s="84" t="s">
        <v>272</v>
      </c>
      <c r="C170" s="276"/>
      <c r="D170" s="64">
        <v>22.5</v>
      </c>
      <c r="E170" s="64"/>
      <c r="F170" s="64">
        <v>15.9</v>
      </c>
      <c r="G170" s="105">
        <f t="shared" si="23"/>
        <v>15.9</v>
      </c>
      <c r="H170" s="278" t="e">
        <f t="shared" si="24"/>
        <v>#DIV/0!</v>
      </c>
    </row>
    <row r="171" spans="1:11" ht="31.5" customHeight="1">
      <c r="A171" s="290"/>
      <c r="B171" s="84" t="s">
        <v>190</v>
      </c>
      <c r="C171" s="276"/>
      <c r="D171" s="64">
        <v>3.1</v>
      </c>
      <c r="E171" s="64"/>
      <c r="F171" s="64">
        <v>2</v>
      </c>
      <c r="G171" s="105">
        <f t="shared" si="23"/>
        <v>2</v>
      </c>
      <c r="H171" s="278" t="e">
        <f t="shared" si="24"/>
        <v>#DIV/0!</v>
      </c>
    </row>
    <row r="172" spans="1:11" ht="26.25" customHeight="1">
      <c r="A172" s="290"/>
      <c r="B172" s="84" t="s">
        <v>200</v>
      </c>
      <c r="C172" s="276"/>
      <c r="D172" s="64">
        <v>2.2999999999999998</v>
      </c>
      <c r="E172" s="64"/>
      <c r="F172" s="64"/>
      <c r="G172" s="105">
        <f t="shared" si="23"/>
        <v>0</v>
      </c>
      <c r="H172" s="278" t="e">
        <f t="shared" si="24"/>
        <v>#DIV/0!</v>
      </c>
    </row>
    <row r="173" spans="1:11" ht="24.75" customHeight="1">
      <c r="A173" s="290"/>
      <c r="B173" s="84" t="s">
        <v>271</v>
      </c>
      <c r="C173" s="276"/>
      <c r="D173" s="64">
        <v>16.7</v>
      </c>
      <c r="E173" s="64"/>
      <c r="F173" s="64"/>
      <c r="G173" s="105">
        <f t="shared" si="23"/>
        <v>0</v>
      </c>
      <c r="H173" s="278" t="e">
        <f t="shared" si="24"/>
        <v>#DIV/0!</v>
      </c>
    </row>
    <row r="174" spans="1:11" ht="24.75" customHeight="1">
      <c r="A174" s="290"/>
      <c r="B174" s="84" t="s">
        <v>434</v>
      </c>
      <c r="C174" s="276"/>
      <c r="D174" s="64"/>
      <c r="E174" s="64"/>
      <c r="F174" s="64">
        <v>32</v>
      </c>
      <c r="G174" s="105">
        <f t="shared" si="23"/>
        <v>32</v>
      </c>
      <c r="H174" s="278" t="e">
        <f t="shared" si="24"/>
        <v>#DIV/0!</v>
      </c>
    </row>
    <row r="175" spans="1:11" ht="27.75" customHeight="1">
      <c r="A175" s="290"/>
      <c r="B175" s="84" t="s">
        <v>243</v>
      </c>
      <c r="C175" s="276"/>
      <c r="D175" s="64">
        <v>1.4</v>
      </c>
      <c r="E175" s="64"/>
      <c r="F175" s="64">
        <v>5.8</v>
      </c>
      <c r="G175" s="105">
        <f t="shared" si="23"/>
        <v>5.8</v>
      </c>
      <c r="H175" s="278" t="e">
        <f t="shared" si="24"/>
        <v>#DIV/0!</v>
      </c>
      <c r="I175" s="49" t="s">
        <v>687</v>
      </c>
      <c r="K175" s="49" t="s">
        <v>688</v>
      </c>
    </row>
    <row r="176" spans="1:11" ht="24.75" customHeight="1">
      <c r="A176" s="282"/>
      <c r="B176" s="167" t="s">
        <v>273</v>
      </c>
      <c r="C176" s="276"/>
      <c r="D176" s="64"/>
      <c r="E176" s="64">
        <v>25</v>
      </c>
      <c r="F176" s="64"/>
      <c r="G176" s="105">
        <f t="shared" si="23"/>
        <v>-25</v>
      </c>
      <c r="H176" s="105">
        <f t="shared" si="24"/>
        <v>0</v>
      </c>
    </row>
    <row r="177" spans="1:15" ht="24.75" customHeight="1">
      <c r="A177" s="269" t="s">
        <v>426</v>
      </c>
      <c r="B177" s="291" t="s">
        <v>92</v>
      </c>
      <c r="C177" s="295">
        <v>1030</v>
      </c>
      <c r="D177" s="61">
        <f>D178</f>
        <v>1.9000000000000001</v>
      </c>
      <c r="E177" s="61">
        <f>E178</f>
        <v>92</v>
      </c>
      <c r="F177" s="61">
        <f>F178</f>
        <v>0.7</v>
      </c>
      <c r="G177" s="104">
        <f t="shared" si="23"/>
        <v>-91.3</v>
      </c>
      <c r="H177" s="104">
        <f t="shared" si="24"/>
        <v>0.76086956521739124</v>
      </c>
    </row>
    <row r="178" spans="1:15" ht="24.75" customHeight="1">
      <c r="A178" s="270" t="s">
        <v>427</v>
      </c>
      <c r="B178" s="294" t="s">
        <v>92</v>
      </c>
      <c r="C178" s="315">
        <v>1035</v>
      </c>
      <c r="D178" s="80">
        <f>SUM(D179:D181)</f>
        <v>1.9000000000000001</v>
      </c>
      <c r="E178" s="80">
        <f>SUM(E179:E180)</f>
        <v>92</v>
      </c>
      <c r="F178" s="80">
        <f>SUM(F179:F180)</f>
        <v>0.7</v>
      </c>
      <c r="G178" s="273">
        <f t="shared" si="23"/>
        <v>-91.3</v>
      </c>
      <c r="H178" s="273">
        <f t="shared" si="24"/>
        <v>0.76086956521739124</v>
      </c>
    </row>
    <row r="179" spans="1:15" ht="24.75" customHeight="1">
      <c r="A179" s="290"/>
      <c r="B179" s="82" t="s">
        <v>441</v>
      </c>
      <c r="C179" s="316"/>
      <c r="D179" s="64"/>
      <c r="E179" s="64">
        <v>92</v>
      </c>
      <c r="F179" s="64"/>
      <c r="G179" s="105">
        <f t="shared" si="23"/>
        <v>-92</v>
      </c>
      <c r="H179" s="105">
        <f t="shared" si="24"/>
        <v>0</v>
      </c>
    </row>
    <row r="180" spans="1:15" ht="24.75" customHeight="1">
      <c r="A180" s="290"/>
      <c r="B180" s="82" t="s">
        <v>438</v>
      </c>
      <c r="C180" s="316"/>
      <c r="D180" s="64">
        <v>0.3</v>
      </c>
      <c r="E180" s="64"/>
      <c r="F180" s="64">
        <v>0.7</v>
      </c>
      <c r="G180" s="105">
        <f t="shared" si="23"/>
        <v>0.7</v>
      </c>
      <c r="H180" s="278" t="e">
        <f t="shared" si="24"/>
        <v>#DIV/0!</v>
      </c>
    </row>
    <row r="181" spans="1:15" ht="24.75" customHeight="1">
      <c r="A181" s="290"/>
      <c r="B181" s="82" t="s">
        <v>507</v>
      </c>
      <c r="C181" s="316"/>
      <c r="D181" s="64">
        <v>1.6</v>
      </c>
      <c r="E181" s="64"/>
      <c r="F181" s="64"/>
      <c r="G181" s="105">
        <f t="shared" si="23"/>
        <v>0</v>
      </c>
      <c r="H181" s="278" t="e">
        <f t="shared" si="24"/>
        <v>#DIV/0!</v>
      </c>
    </row>
    <row r="182" spans="1:15" ht="46.5" customHeight="1">
      <c r="A182" s="290" t="s">
        <v>603</v>
      </c>
      <c r="B182" s="296" t="s">
        <v>183</v>
      </c>
      <c r="C182" s="295"/>
      <c r="D182" s="61">
        <f>D184</f>
        <v>334.7</v>
      </c>
      <c r="E182" s="61">
        <f>E184</f>
        <v>109.8</v>
      </c>
      <c r="F182" s="61">
        <f>F184</f>
        <v>0</v>
      </c>
      <c r="G182" s="105">
        <f t="shared" si="23"/>
        <v>-109.8</v>
      </c>
      <c r="H182" s="105">
        <f t="shared" si="24"/>
        <v>0</v>
      </c>
    </row>
    <row r="183" spans="1:15" ht="27.75" customHeight="1">
      <c r="A183" s="275"/>
      <c r="B183" s="268" t="s">
        <v>85</v>
      </c>
      <c r="C183" s="58"/>
      <c r="D183" s="317"/>
      <c r="E183" s="317"/>
      <c r="F183" s="317"/>
      <c r="G183" s="105"/>
      <c r="H183" s="105"/>
    </row>
    <row r="184" spans="1:15" ht="24.75" customHeight="1">
      <c r="A184" s="290" t="s">
        <v>604</v>
      </c>
      <c r="B184" s="313" t="s">
        <v>89</v>
      </c>
      <c r="C184" s="295">
        <v>1010</v>
      </c>
      <c r="D184" s="318">
        <f>D185+D186</f>
        <v>334.7</v>
      </c>
      <c r="E184" s="319">
        <f>E185+E186</f>
        <v>109.8</v>
      </c>
      <c r="F184" s="318">
        <f>F185+F186</f>
        <v>0</v>
      </c>
      <c r="G184" s="104">
        <f t="shared" si="23"/>
        <v>-109.8</v>
      </c>
      <c r="H184" s="104">
        <f t="shared" si="24"/>
        <v>0</v>
      </c>
    </row>
    <row r="185" spans="1:15" ht="24.75" customHeight="1">
      <c r="A185" s="270" t="s">
        <v>605</v>
      </c>
      <c r="B185" s="303" t="s">
        <v>2</v>
      </c>
      <c r="C185" s="279">
        <v>1012</v>
      </c>
      <c r="D185" s="320">
        <v>276.8</v>
      </c>
      <c r="E185" s="320">
        <v>90.1</v>
      </c>
      <c r="F185" s="80"/>
      <c r="G185" s="273">
        <f t="shared" si="23"/>
        <v>-90.1</v>
      </c>
      <c r="H185" s="273">
        <f t="shared" si="24"/>
        <v>0</v>
      </c>
    </row>
    <row r="186" spans="1:15" ht="24.75" customHeight="1">
      <c r="A186" s="321" t="s">
        <v>606</v>
      </c>
      <c r="B186" s="303" t="s">
        <v>3</v>
      </c>
      <c r="C186" s="279">
        <v>1013</v>
      </c>
      <c r="D186" s="320">
        <v>57.9</v>
      </c>
      <c r="E186" s="320">
        <v>19.7</v>
      </c>
      <c r="F186" s="80"/>
      <c r="G186" s="273">
        <f t="shared" si="23"/>
        <v>-19.7</v>
      </c>
      <c r="H186" s="273">
        <f t="shared" si="24"/>
        <v>0</v>
      </c>
      <c r="K186" s="66"/>
    </row>
    <row r="187" spans="1:15" ht="30" customHeight="1">
      <c r="A187" s="290" t="s">
        <v>184</v>
      </c>
      <c r="B187" s="296" t="s">
        <v>242</v>
      </c>
      <c r="C187" s="276"/>
      <c r="D187" s="61">
        <f>D189+D208</f>
        <v>14915.899999999998</v>
      </c>
      <c r="E187" s="61">
        <f>E189+E208</f>
        <v>12079.2</v>
      </c>
      <c r="F187" s="61">
        <f>F189+F208</f>
        <v>14329.1</v>
      </c>
      <c r="G187" s="105">
        <f t="shared" si="23"/>
        <v>2249.8999999999996</v>
      </c>
      <c r="H187" s="105">
        <f t="shared" si="24"/>
        <v>118.62623352539903</v>
      </c>
      <c r="J187" s="257">
        <v>14529.1</v>
      </c>
    </row>
    <row r="188" spans="1:15" ht="27" customHeight="1">
      <c r="A188" s="275"/>
      <c r="B188" s="322" t="s">
        <v>85</v>
      </c>
      <c r="C188" s="301"/>
      <c r="D188" s="64"/>
      <c r="E188" s="64"/>
      <c r="F188" s="64"/>
      <c r="G188" s="105"/>
      <c r="H188" s="105"/>
      <c r="L188" s="66"/>
    </row>
    <row r="189" spans="1:15" ht="28.5" customHeight="1">
      <c r="A189" s="290" t="s">
        <v>428</v>
      </c>
      <c r="B189" s="298" t="s">
        <v>89</v>
      </c>
      <c r="C189" s="306">
        <v>1010</v>
      </c>
      <c r="D189" s="61">
        <f>D190+D200+D201+D202</f>
        <v>14820.499999999998</v>
      </c>
      <c r="E189" s="61">
        <f>E190+E200+E201+E202</f>
        <v>11917.5</v>
      </c>
      <c r="F189" s="61">
        <f>F190+F200+F201+F202</f>
        <v>14196.9</v>
      </c>
      <c r="G189" s="104">
        <f t="shared" si="23"/>
        <v>2279.3999999999996</v>
      </c>
      <c r="H189" s="104">
        <f t="shared" si="24"/>
        <v>119.12649465072371</v>
      </c>
    </row>
    <row r="190" spans="1:15" ht="28.5" customHeight="1">
      <c r="A190" s="270" t="s">
        <v>429</v>
      </c>
      <c r="B190" s="299" t="s">
        <v>105</v>
      </c>
      <c r="C190" s="272">
        <v>1011</v>
      </c>
      <c r="D190" s="80">
        <f>SUM(D191:D199)</f>
        <v>6778.7999999999993</v>
      </c>
      <c r="E190" s="80">
        <f>SUM(E191:E199)</f>
        <v>4725.1000000000004</v>
      </c>
      <c r="F190" s="80">
        <f>SUM(F191:F199)</f>
        <v>6417.5999999999995</v>
      </c>
      <c r="G190" s="273">
        <f t="shared" si="23"/>
        <v>1692.4999999999991</v>
      </c>
      <c r="H190" s="273">
        <f t="shared" si="24"/>
        <v>135.81934773867218</v>
      </c>
    </row>
    <row r="191" spans="1:15" ht="29.25" customHeight="1">
      <c r="A191" s="282"/>
      <c r="B191" s="84" t="s">
        <v>178</v>
      </c>
      <c r="C191" s="276"/>
      <c r="D191" s="64"/>
      <c r="E191" s="64"/>
      <c r="F191" s="64">
        <v>74.3</v>
      </c>
      <c r="G191" s="105">
        <f t="shared" si="23"/>
        <v>74.3</v>
      </c>
      <c r="H191" s="278" t="e">
        <f t="shared" si="24"/>
        <v>#DIV/0!</v>
      </c>
      <c r="O191" s="293"/>
    </row>
    <row r="192" spans="1:15" ht="42.75" customHeight="1">
      <c r="A192" s="282"/>
      <c r="B192" s="167" t="s">
        <v>185</v>
      </c>
      <c r="C192" s="276"/>
      <c r="D192" s="64">
        <v>108</v>
      </c>
      <c r="E192" s="64"/>
      <c r="F192" s="64">
        <v>2</v>
      </c>
      <c r="G192" s="105">
        <f t="shared" si="23"/>
        <v>2</v>
      </c>
      <c r="H192" s="278" t="e">
        <f t="shared" si="24"/>
        <v>#DIV/0!</v>
      </c>
      <c r="I192" s="284"/>
    </row>
    <row r="193" spans="1:14" ht="24.75" customHeight="1">
      <c r="A193" s="282"/>
      <c r="B193" s="167" t="s">
        <v>186</v>
      </c>
      <c r="C193" s="276"/>
      <c r="D193" s="64">
        <v>3918.6</v>
      </c>
      <c r="E193" s="64">
        <v>4000</v>
      </c>
      <c r="F193" s="64">
        <f>4752.5-0.8</f>
        <v>4751.7</v>
      </c>
      <c r="G193" s="105">
        <f t="shared" si="23"/>
        <v>751.69999999999982</v>
      </c>
      <c r="H193" s="105">
        <f t="shared" si="24"/>
        <v>118.79249999999999</v>
      </c>
      <c r="K193" s="66"/>
    </row>
    <row r="194" spans="1:14" ht="24.75" customHeight="1">
      <c r="A194" s="282"/>
      <c r="B194" s="167" t="s">
        <v>187</v>
      </c>
      <c r="C194" s="276"/>
      <c r="D194" s="64">
        <v>2594.6</v>
      </c>
      <c r="E194" s="64">
        <v>547</v>
      </c>
      <c r="F194" s="64">
        <v>554.29999999999995</v>
      </c>
      <c r="G194" s="105">
        <f t="shared" si="23"/>
        <v>7.2999999999999545</v>
      </c>
      <c r="H194" s="105">
        <f t="shared" si="24"/>
        <v>101.33455210237659</v>
      </c>
      <c r="K194" s="66"/>
    </row>
    <row r="195" spans="1:14" ht="24.75" customHeight="1">
      <c r="A195" s="282"/>
      <c r="B195" s="167" t="s">
        <v>327</v>
      </c>
      <c r="C195" s="276"/>
      <c r="D195" s="64"/>
      <c r="E195" s="64"/>
      <c r="F195" s="64">
        <v>146.4</v>
      </c>
      <c r="G195" s="105">
        <f t="shared" si="23"/>
        <v>146.4</v>
      </c>
      <c r="H195" s="278" t="e">
        <f t="shared" si="24"/>
        <v>#DIV/0!</v>
      </c>
      <c r="N195" s="66"/>
    </row>
    <row r="196" spans="1:14" ht="24.75" customHeight="1">
      <c r="A196" s="282"/>
      <c r="B196" s="167" t="s">
        <v>188</v>
      </c>
      <c r="C196" s="276"/>
      <c r="D196" s="64">
        <v>70.7</v>
      </c>
      <c r="E196" s="64">
        <v>178.1</v>
      </c>
      <c r="F196" s="64">
        <v>255.4</v>
      </c>
      <c r="G196" s="105">
        <f t="shared" si="23"/>
        <v>77.300000000000011</v>
      </c>
      <c r="H196" s="105">
        <f t="shared" si="24"/>
        <v>143.40258281864124</v>
      </c>
    </row>
    <row r="197" spans="1:14" ht="24.75" customHeight="1">
      <c r="A197" s="282"/>
      <c r="B197" s="167" t="s">
        <v>189</v>
      </c>
      <c r="C197" s="276"/>
      <c r="D197" s="64">
        <v>86.9</v>
      </c>
      <c r="E197" s="64"/>
      <c r="F197" s="64">
        <v>4.5999999999999996</v>
      </c>
      <c r="G197" s="105">
        <f t="shared" si="23"/>
        <v>4.5999999999999996</v>
      </c>
      <c r="H197" s="278" t="e">
        <f t="shared" si="24"/>
        <v>#DIV/0!</v>
      </c>
    </row>
    <row r="198" spans="1:14" ht="24.75" customHeight="1">
      <c r="A198" s="282"/>
      <c r="B198" s="82" t="s">
        <v>602</v>
      </c>
      <c r="C198" s="276"/>
      <c r="D198" s="64"/>
      <c r="E198" s="64"/>
      <c r="F198" s="64">
        <v>433.5</v>
      </c>
      <c r="G198" s="105">
        <f t="shared" ref="G198:G245" si="25">F198-E198</f>
        <v>433.5</v>
      </c>
      <c r="H198" s="278" t="e">
        <f t="shared" ref="H198:H245" si="26">(F198/E198)*100</f>
        <v>#DIV/0!</v>
      </c>
    </row>
    <row r="199" spans="1:14" ht="24.75" customHeight="1">
      <c r="A199" s="282"/>
      <c r="B199" s="82" t="s">
        <v>136</v>
      </c>
      <c r="C199" s="276"/>
      <c r="D199" s="64"/>
      <c r="E199" s="64"/>
      <c r="F199" s="64">
        <v>195.4</v>
      </c>
      <c r="G199" s="105">
        <f t="shared" si="25"/>
        <v>195.4</v>
      </c>
      <c r="H199" s="278" t="e">
        <f t="shared" si="26"/>
        <v>#DIV/0!</v>
      </c>
    </row>
    <row r="200" spans="1:14" ht="24.75" customHeight="1">
      <c r="A200" s="270" t="s">
        <v>432</v>
      </c>
      <c r="B200" s="271" t="s">
        <v>2</v>
      </c>
      <c r="C200" s="279">
        <v>1012</v>
      </c>
      <c r="D200" s="80">
        <v>1989.3</v>
      </c>
      <c r="E200" s="80"/>
      <c r="F200" s="80"/>
      <c r="G200" s="273">
        <f t="shared" si="25"/>
        <v>0</v>
      </c>
      <c r="H200" s="280" t="e">
        <f t="shared" si="26"/>
        <v>#DIV/0!</v>
      </c>
    </row>
    <row r="201" spans="1:14" ht="24.75" customHeight="1">
      <c r="A201" s="270" t="s">
        <v>607</v>
      </c>
      <c r="B201" s="271" t="s">
        <v>3</v>
      </c>
      <c r="C201" s="279">
        <v>1013</v>
      </c>
      <c r="D201" s="80">
        <v>412.1</v>
      </c>
      <c r="E201" s="80"/>
      <c r="F201" s="80"/>
      <c r="G201" s="273">
        <f t="shared" si="25"/>
        <v>0</v>
      </c>
      <c r="H201" s="280" t="e">
        <f t="shared" si="26"/>
        <v>#DIV/0!</v>
      </c>
    </row>
    <row r="202" spans="1:14" ht="24.75" customHeight="1">
      <c r="A202" s="270" t="s">
        <v>608</v>
      </c>
      <c r="B202" s="300" t="s">
        <v>96</v>
      </c>
      <c r="C202" s="173">
        <v>1015</v>
      </c>
      <c r="D202" s="80">
        <f>SUM(D203:D207)</f>
        <v>5640.2999999999993</v>
      </c>
      <c r="E202" s="80">
        <f>SUM(E203:E207)</f>
        <v>7192.4000000000005</v>
      </c>
      <c r="F202" s="80">
        <f>SUM(F203:F207)</f>
        <v>7779.3</v>
      </c>
      <c r="G202" s="273">
        <f t="shared" si="25"/>
        <v>586.89999999999964</v>
      </c>
      <c r="H202" s="273">
        <f t="shared" si="26"/>
        <v>108.16000222457038</v>
      </c>
    </row>
    <row r="203" spans="1:14" ht="24.75" customHeight="1">
      <c r="A203" s="290"/>
      <c r="B203" s="168" t="s">
        <v>472</v>
      </c>
      <c r="C203" s="55"/>
      <c r="D203" s="64">
        <v>1.1000000000000001</v>
      </c>
      <c r="E203" s="64">
        <v>2.8</v>
      </c>
      <c r="F203" s="61"/>
      <c r="G203" s="105">
        <f t="shared" si="25"/>
        <v>-2.8</v>
      </c>
      <c r="H203" s="105">
        <f t="shared" si="26"/>
        <v>0</v>
      </c>
    </row>
    <row r="204" spans="1:14" ht="24.75" customHeight="1">
      <c r="A204" s="290"/>
      <c r="B204" s="168" t="s">
        <v>171</v>
      </c>
      <c r="C204" s="168"/>
      <c r="D204" s="64">
        <v>3423.1</v>
      </c>
      <c r="E204" s="64">
        <v>4626.7</v>
      </c>
      <c r="F204" s="64">
        <v>4414.2</v>
      </c>
      <c r="G204" s="105">
        <f t="shared" si="25"/>
        <v>-212.5</v>
      </c>
      <c r="H204" s="105">
        <f t="shared" si="26"/>
        <v>95.407093608835666</v>
      </c>
      <c r="M204" s="49" t="s">
        <v>240</v>
      </c>
    </row>
    <row r="205" spans="1:14" ht="24.75" customHeight="1">
      <c r="A205" s="290"/>
      <c r="B205" s="168" t="s">
        <v>172</v>
      </c>
      <c r="C205" s="168"/>
      <c r="D205" s="64">
        <v>440.7</v>
      </c>
      <c r="E205" s="64">
        <v>460.1</v>
      </c>
      <c r="F205" s="64">
        <v>329</v>
      </c>
      <c r="G205" s="105">
        <f t="shared" si="25"/>
        <v>-131.10000000000002</v>
      </c>
      <c r="H205" s="105">
        <f t="shared" si="26"/>
        <v>71.506194305585737</v>
      </c>
    </row>
    <row r="206" spans="1:14" ht="24.75" customHeight="1">
      <c r="A206" s="290"/>
      <c r="B206" s="168" t="s">
        <v>190</v>
      </c>
      <c r="C206" s="168"/>
      <c r="D206" s="64">
        <v>1657.2</v>
      </c>
      <c r="E206" s="64">
        <v>1949</v>
      </c>
      <c r="F206" s="64">
        <v>2888.5</v>
      </c>
      <c r="G206" s="105">
        <f t="shared" si="25"/>
        <v>939.5</v>
      </c>
      <c r="H206" s="105">
        <f t="shared" si="26"/>
        <v>148.20420728578759</v>
      </c>
    </row>
    <row r="207" spans="1:14" ht="24.75" customHeight="1">
      <c r="A207" s="144"/>
      <c r="B207" s="168" t="s">
        <v>174</v>
      </c>
      <c r="C207" s="58"/>
      <c r="D207" s="64">
        <v>118.2</v>
      </c>
      <c r="E207" s="64">
        <v>153.80000000000001</v>
      </c>
      <c r="F207" s="64">
        <v>147.6</v>
      </c>
      <c r="G207" s="105">
        <f t="shared" si="25"/>
        <v>-6.2000000000000171</v>
      </c>
      <c r="H207" s="105">
        <f t="shared" si="26"/>
        <v>95.968790637191148</v>
      </c>
      <c r="L207" s="284"/>
    </row>
    <row r="208" spans="1:14" ht="24.75" customHeight="1">
      <c r="A208" s="290" t="s">
        <v>609</v>
      </c>
      <c r="B208" s="305" t="s">
        <v>91</v>
      </c>
      <c r="C208" s="306">
        <v>1020</v>
      </c>
      <c r="D208" s="61">
        <f>D209</f>
        <v>95.4</v>
      </c>
      <c r="E208" s="61">
        <f>E209</f>
        <v>161.69999999999999</v>
      </c>
      <c r="F208" s="61">
        <f>F209</f>
        <v>132.20000000000002</v>
      </c>
      <c r="G208" s="104">
        <f t="shared" si="25"/>
        <v>-29.499999999999972</v>
      </c>
      <c r="H208" s="104">
        <f t="shared" si="26"/>
        <v>81.756338899196052</v>
      </c>
    </row>
    <row r="209" spans="1:17" ht="24.75" customHeight="1">
      <c r="A209" s="270" t="s">
        <v>610</v>
      </c>
      <c r="B209" s="299" t="s">
        <v>176</v>
      </c>
      <c r="C209" s="272">
        <v>1025</v>
      </c>
      <c r="D209" s="80">
        <f>SUM(D210:D213)</f>
        <v>95.4</v>
      </c>
      <c r="E209" s="80">
        <f>SUM(E210:E213)</f>
        <v>161.69999999999999</v>
      </c>
      <c r="F209" s="80">
        <f>SUM(F210:F213)</f>
        <v>132.20000000000002</v>
      </c>
      <c r="G209" s="273">
        <f t="shared" si="25"/>
        <v>-29.499999999999972</v>
      </c>
      <c r="H209" s="273">
        <f t="shared" si="26"/>
        <v>81.756338899196052</v>
      </c>
    </row>
    <row r="210" spans="1:17" ht="24.75" customHeight="1">
      <c r="A210" s="314"/>
      <c r="B210" s="304" t="s">
        <v>171</v>
      </c>
      <c r="C210" s="276"/>
      <c r="D210" s="64">
        <v>83.8</v>
      </c>
      <c r="E210" s="64">
        <v>104</v>
      </c>
      <c r="F210" s="64">
        <v>64.7</v>
      </c>
      <c r="G210" s="105">
        <f t="shared" si="25"/>
        <v>-39.299999999999997</v>
      </c>
      <c r="H210" s="105">
        <f t="shared" si="26"/>
        <v>62.21153846153846</v>
      </c>
    </row>
    <row r="211" spans="1:17" ht="24.75" customHeight="1">
      <c r="A211" s="314"/>
      <c r="B211" s="304" t="s">
        <v>172</v>
      </c>
      <c r="C211" s="276"/>
      <c r="D211" s="64">
        <v>2.2000000000000002</v>
      </c>
      <c r="E211" s="64">
        <v>10.4</v>
      </c>
      <c r="F211" s="64">
        <v>6.5</v>
      </c>
      <c r="G211" s="105">
        <f t="shared" si="25"/>
        <v>-3.9000000000000004</v>
      </c>
      <c r="H211" s="105">
        <f t="shared" si="26"/>
        <v>62.5</v>
      </c>
    </row>
    <row r="212" spans="1:17" ht="24.75" customHeight="1">
      <c r="A212" s="314"/>
      <c r="B212" s="304" t="s">
        <v>173</v>
      </c>
      <c r="C212" s="276"/>
      <c r="D212" s="64">
        <v>8.9</v>
      </c>
      <c r="E212" s="64">
        <v>43.8</v>
      </c>
      <c r="F212" s="64">
        <v>58.2</v>
      </c>
      <c r="G212" s="105">
        <f t="shared" si="25"/>
        <v>14.400000000000006</v>
      </c>
      <c r="H212" s="105">
        <f t="shared" si="26"/>
        <v>132.87671232876716</v>
      </c>
    </row>
    <row r="213" spans="1:17" ht="24.75" customHeight="1">
      <c r="A213" s="323"/>
      <c r="B213" s="304" t="s">
        <v>191</v>
      </c>
      <c r="C213" s="324"/>
      <c r="D213" s="64">
        <v>0.5</v>
      </c>
      <c r="E213" s="64">
        <v>3.5</v>
      </c>
      <c r="F213" s="64">
        <v>2.8</v>
      </c>
      <c r="G213" s="105">
        <f t="shared" si="25"/>
        <v>-0.70000000000000018</v>
      </c>
      <c r="H213" s="105">
        <f t="shared" si="26"/>
        <v>80</v>
      </c>
    </row>
    <row r="214" spans="1:17" s="76" customFormat="1" ht="24.75" customHeight="1">
      <c r="A214" s="290" t="s">
        <v>192</v>
      </c>
      <c r="B214" s="296" t="s">
        <v>361</v>
      </c>
      <c r="C214" s="306"/>
      <c r="D214" s="61">
        <f>D216</f>
        <v>821.3</v>
      </c>
      <c r="E214" s="61"/>
      <c r="F214" s="61">
        <f>F216</f>
        <v>0.8</v>
      </c>
      <c r="G214" s="105">
        <f t="shared" si="25"/>
        <v>0.8</v>
      </c>
      <c r="H214" s="278" t="e">
        <f t="shared" si="26"/>
        <v>#DIV/0!</v>
      </c>
      <c r="J214" s="257"/>
      <c r="O214" s="325"/>
      <c r="P214" s="325"/>
      <c r="Q214" s="325"/>
    </row>
    <row r="215" spans="1:17" ht="24.75" customHeight="1">
      <c r="A215" s="275"/>
      <c r="B215" s="322" t="s">
        <v>85</v>
      </c>
      <c r="C215" s="301"/>
      <c r="D215" s="58"/>
      <c r="E215" s="64"/>
      <c r="F215" s="64"/>
      <c r="G215" s="105"/>
      <c r="H215" s="105"/>
    </row>
    <row r="216" spans="1:17" ht="24.75" customHeight="1">
      <c r="A216" s="290" t="s">
        <v>194</v>
      </c>
      <c r="B216" s="298" t="s">
        <v>89</v>
      </c>
      <c r="C216" s="306">
        <v>1010</v>
      </c>
      <c r="D216" s="61">
        <f>D217</f>
        <v>821.3</v>
      </c>
      <c r="E216" s="61"/>
      <c r="F216" s="61">
        <f>F217</f>
        <v>0.8</v>
      </c>
      <c r="G216" s="104">
        <f t="shared" si="25"/>
        <v>0.8</v>
      </c>
      <c r="H216" s="292" t="e">
        <f t="shared" si="26"/>
        <v>#DIV/0!</v>
      </c>
    </row>
    <row r="217" spans="1:17" ht="24.75" customHeight="1">
      <c r="A217" s="270" t="s">
        <v>195</v>
      </c>
      <c r="B217" s="299" t="s">
        <v>105</v>
      </c>
      <c r="C217" s="272">
        <v>1011</v>
      </c>
      <c r="D217" s="273">
        <f>SUM(D218:D220)</f>
        <v>821.3</v>
      </c>
      <c r="E217" s="273">
        <f>SUM(E218:E220)</f>
        <v>0</v>
      </c>
      <c r="F217" s="273">
        <f>SUM(F218:F220)</f>
        <v>0.8</v>
      </c>
      <c r="G217" s="273">
        <f t="shared" si="25"/>
        <v>0.8</v>
      </c>
      <c r="H217" s="280" t="e">
        <f t="shared" si="26"/>
        <v>#DIV/0!</v>
      </c>
    </row>
    <row r="218" spans="1:17" ht="29.25" customHeight="1">
      <c r="A218" s="290"/>
      <c r="B218" s="84" t="s">
        <v>188</v>
      </c>
      <c r="C218" s="306"/>
      <c r="D218" s="64">
        <v>41</v>
      </c>
      <c r="E218" s="64"/>
      <c r="F218" s="64"/>
      <c r="G218" s="105">
        <f t="shared" si="25"/>
        <v>0</v>
      </c>
      <c r="H218" s="278" t="e">
        <f t="shared" si="26"/>
        <v>#DIV/0!</v>
      </c>
    </row>
    <row r="219" spans="1:17" ht="41.25" customHeight="1">
      <c r="A219" s="275"/>
      <c r="B219" s="167" t="s">
        <v>185</v>
      </c>
      <c r="C219" s="301"/>
      <c r="D219" s="64">
        <v>63.9</v>
      </c>
      <c r="E219" s="64"/>
      <c r="F219" s="64">
        <v>0.8</v>
      </c>
      <c r="G219" s="105">
        <f t="shared" si="25"/>
        <v>0.8</v>
      </c>
      <c r="H219" s="278" t="e">
        <f t="shared" si="26"/>
        <v>#DIV/0!</v>
      </c>
    </row>
    <row r="220" spans="1:17" ht="24.75" customHeight="1">
      <c r="A220" s="275"/>
      <c r="B220" s="167" t="s">
        <v>186</v>
      </c>
      <c r="C220" s="301"/>
      <c r="D220" s="64">
        <v>716.4</v>
      </c>
      <c r="E220" s="64"/>
      <c r="F220" s="64"/>
      <c r="G220" s="105">
        <f t="shared" si="25"/>
        <v>0</v>
      </c>
      <c r="H220" s="278" t="e">
        <f t="shared" si="26"/>
        <v>#DIV/0!</v>
      </c>
    </row>
    <row r="221" spans="1:17" ht="42" customHeight="1">
      <c r="A221" s="269" t="s">
        <v>196</v>
      </c>
      <c r="B221" s="326" t="s">
        <v>193</v>
      </c>
      <c r="C221" s="306"/>
      <c r="D221" s="61">
        <f>D223</f>
        <v>26.2</v>
      </c>
      <c r="E221" s="61">
        <f>E223</f>
        <v>26</v>
      </c>
      <c r="F221" s="61"/>
      <c r="G221" s="105">
        <f t="shared" si="25"/>
        <v>-26</v>
      </c>
      <c r="H221" s="105">
        <f t="shared" si="26"/>
        <v>0</v>
      </c>
    </row>
    <row r="222" spans="1:17" ht="28.5" customHeight="1">
      <c r="A222" s="314"/>
      <c r="B222" s="268" t="s">
        <v>85</v>
      </c>
      <c r="C222" s="301"/>
      <c r="D222" s="64"/>
      <c r="E222" s="64"/>
      <c r="F222" s="64"/>
      <c r="G222" s="105"/>
      <c r="H222" s="105"/>
    </row>
    <row r="223" spans="1:17" ht="29.25" customHeight="1">
      <c r="A223" s="269" t="s">
        <v>351</v>
      </c>
      <c r="B223" s="298" t="s">
        <v>89</v>
      </c>
      <c r="C223" s="60">
        <v>1010</v>
      </c>
      <c r="D223" s="61">
        <f>D224</f>
        <v>26.2</v>
      </c>
      <c r="E223" s="61">
        <f>E224</f>
        <v>26</v>
      </c>
      <c r="F223" s="61">
        <f>F224</f>
        <v>0</v>
      </c>
      <c r="G223" s="104">
        <f t="shared" si="25"/>
        <v>-26</v>
      </c>
      <c r="H223" s="104">
        <f t="shared" si="26"/>
        <v>0</v>
      </c>
    </row>
    <row r="224" spans="1:17" ht="26.25" customHeight="1">
      <c r="A224" s="310" t="s">
        <v>352</v>
      </c>
      <c r="B224" s="300" t="s">
        <v>96</v>
      </c>
      <c r="C224" s="173">
        <v>1015</v>
      </c>
      <c r="D224" s="80">
        <f>D225</f>
        <v>26.2</v>
      </c>
      <c r="E224" s="80">
        <f>E225</f>
        <v>26</v>
      </c>
      <c r="F224" s="80"/>
      <c r="G224" s="273">
        <f t="shared" si="25"/>
        <v>-26</v>
      </c>
      <c r="H224" s="273">
        <f t="shared" si="26"/>
        <v>0</v>
      </c>
    </row>
    <row r="225" spans="1:17" ht="27.75" customHeight="1">
      <c r="A225" s="308"/>
      <c r="B225" s="168" t="s">
        <v>442</v>
      </c>
      <c r="C225" s="327"/>
      <c r="D225" s="64">
        <v>26.2</v>
      </c>
      <c r="E225" s="64">
        <v>26</v>
      </c>
      <c r="F225" s="64"/>
      <c r="G225" s="105">
        <f t="shared" si="25"/>
        <v>-26</v>
      </c>
      <c r="H225" s="105">
        <f t="shared" si="26"/>
        <v>0</v>
      </c>
    </row>
    <row r="226" spans="1:17" ht="51" customHeight="1">
      <c r="A226" s="269" t="s">
        <v>430</v>
      </c>
      <c r="B226" s="326" t="s">
        <v>274</v>
      </c>
      <c r="C226" s="306"/>
      <c r="D226" s="61">
        <f>D228</f>
        <v>0.7</v>
      </c>
      <c r="E226" s="61"/>
      <c r="F226" s="61"/>
      <c r="G226" s="105">
        <f t="shared" si="25"/>
        <v>0</v>
      </c>
      <c r="H226" s="278" t="e">
        <f t="shared" si="26"/>
        <v>#DIV/0!</v>
      </c>
    </row>
    <row r="227" spans="1:17" ht="26.25" customHeight="1">
      <c r="A227" s="314"/>
      <c r="B227" s="268" t="s">
        <v>85</v>
      </c>
      <c r="C227" s="58"/>
      <c r="D227" s="64"/>
      <c r="E227" s="64"/>
      <c r="F227" s="64"/>
      <c r="G227" s="105"/>
      <c r="H227" s="105"/>
    </row>
    <row r="228" spans="1:17" ht="28.5" customHeight="1">
      <c r="A228" s="269" t="s">
        <v>431</v>
      </c>
      <c r="B228" s="298" t="s">
        <v>89</v>
      </c>
      <c r="C228" s="306">
        <v>1010</v>
      </c>
      <c r="D228" s="61">
        <f>D229</f>
        <v>0.7</v>
      </c>
      <c r="E228" s="61"/>
      <c r="F228" s="61"/>
      <c r="G228" s="104">
        <f t="shared" si="25"/>
        <v>0</v>
      </c>
      <c r="H228" s="292" t="e">
        <f t="shared" si="26"/>
        <v>#DIV/0!</v>
      </c>
    </row>
    <row r="229" spans="1:17" ht="26.25" customHeight="1">
      <c r="A229" s="310" t="s">
        <v>353</v>
      </c>
      <c r="B229" s="300" t="s">
        <v>96</v>
      </c>
      <c r="C229" s="173">
        <v>1015</v>
      </c>
      <c r="D229" s="80">
        <f>D230</f>
        <v>0.7</v>
      </c>
      <c r="E229" s="80"/>
      <c r="F229" s="80"/>
      <c r="G229" s="273">
        <f t="shared" si="25"/>
        <v>0</v>
      </c>
      <c r="H229" s="280" t="e">
        <f t="shared" si="26"/>
        <v>#DIV/0!</v>
      </c>
    </row>
    <row r="230" spans="1:17" ht="24.75" customHeight="1">
      <c r="A230" s="144"/>
      <c r="B230" s="168" t="s">
        <v>149</v>
      </c>
      <c r="C230" s="327"/>
      <c r="D230" s="61">
        <v>0.7</v>
      </c>
      <c r="E230" s="61"/>
      <c r="F230" s="58"/>
      <c r="G230" s="105">
        <f t="shared" si="25"/>
        <v>0</v>
      </c>
      <c r="H230" s="278" t="e">
        <f t="shared" si="26"/>
        <v>#DIV/0!</v>
      </c>
    </row>
    <row r="231" spans="1:17" s="76" customFormat="1" ht="24.75" customHeight="1">
      <c r="A231" s="308" t="s">
        <v>219</v>
      </c>
      <c r="B231" s="296" t="s">
        <v>197</v>
      </c>
      <c r="C231" s="272"/>
      <c r="D231" s="61">
        <f>D233</f>
        <v>38.200000000000003</v>
      </c>
      <c r="E231" s="61">
        <f>E233</f>
        <v>175.5</v>
      </c>
      <c r="F231" s="61">
        <f>F233</f>
        <v>81.900000000000006</v>
      </c>
      <c r="G231" s="105">
        <f t="shared" si="25"/>
        <v>-93.6</v>
      </c>
      <c r="H231" s="105">
        <f t="shared" si="26"/>
        <v>46.666666666666664</v>
      </c>
      <c r="J231" s="257"/>
      <c r="O231" s="325"/>
      <c r="P231" s="325"/>
      <c r="Q231" s="325"/>
    </row>
    <row r="232" spans="1:17" ht="24.75" customHeight="1">
      <c r="A232" s="144"/>
      <c r="B232" s="268" t="s">
        <v>85</v>
      </c>
      <c r="C232" s="58"/>
      <c r="D232" s="64"/>
      <c r="E232" s="64"/>
      <c r="F232" s="61"/>
      <c r="G232" s="105"/>
      <c r="H232" s="105"/>
      <c r="M232" s="66"/>
    </row>
    <row r="233" spans="1:17" ht="24.75" customHeight="1">
      <c r="A233" s="269" t="s">
        <v>354</v>
      </c>
      <c r="B233" s="313" t="s">
        <v>12</v>
      </c>
      <c r="C233" s="306">
        <v>1030</v>
      </c>
      <c r="D233" s="61">
        <f>D234</f>
        <v>38.200000000000003</v>
      </c>
      <c r="E233" s="61">
        <f>E234</f>
        <v>175.5</v>
      </c>
      <c r="F233" s="61">
        <f>F234</f>
        <v>81.900000000000006</v>
      </c>
      <c r="G233" s="104">
        <f t="shared" si="25"/>
        <v>-93.6</v>
      </c>
      <c r="H233" s="104">
        <f t="shared" si="26"/>
        <v>46.666666666666664</v>
      </c>
    </row>
    <row r="234" spans="1:17" s="76" customFormat="1" ht="24.75" customHeight="1">
      <c r="A234" s="310" t="s">
        <v>355</v>
      </c>
      <c r="B234" s="307" t="s">
        <v>92</v>
      </c>
      <c r="C234" s="272">
        <v>1035</v>
      </c>
      <c r="D234" s="80">
        <f>SUM(D235:D237)</f>
        <v>38.200000000000003</v>
      </c>
      <c r="E234" s="80">
        <f>SUM(E235:E237)</f>
        <v>175.5</v>
      </c>
      <c r="F234" s="80">
        <f>SUM(F235:F237)</f>
        <v>81.900000000000006</v>
      </c>
      <c r="G234" s="273">
        <f t="shared" si="25"/>
        <v>-93.6</v>
      </c>
      <c r="H234" s="273">
        <f t="shared" si="26"/>
        <v>46.666666666666664</v>
      </c>
      <c r="J234" s="257"/>
      <c r="O234" s="325"/>
      <c r="P234" s="325"/>
      <c r="Q234" s="325"/>
    </row>
    <row r="235" spans="1:17" ht="24.75" customHeight="1">
      <c r="A235" s="312"/>
      <c r="B235" s="167" t="s">
        <v>171</v>
      </c>
      <c r="C235" s="276"/>
      <c r="D235" s="64">
        <v>12.8</v>
      </c>
      <c r="E235" s="64">
        <v>63.7</v>
      </c>
      <c r="F235" s="64">
        <f>10.1-2</f>
        <v>8.1</v>
      </c>
      <c r="G235" s="105">
        <f t="shared" si="25"/>
        <v>-55.6</v>
      </c>
      <c r="H235" s="105">
        <f t="shared" si="26"/>
        <v>12.71585557299843</v>
      </c>
    </row>
    <row r="236" spans="1:17" ht="26.25" customHeight="1">
      <c r="A236" s="269"/>
      <c r="B236" s="167" t="s">
        <v>172</v>
      </c>
      <c r="C236" s="276"/>
      <c r="D236" s="64">
        <v>1.1000000000000001</v>
      </c>
      <c r="E236" s="64">
        <v>4</v>
      </c>
      <c r="F236" s="64">
        <f>4.6-0.5</f>
        <v>4.0999999999999996</v>
      </c>
      <c r="G236" s="105">
        <f t="shared" si="25"/>
        <v>9.9999999999999645E-2</v>
      </c>
      <c r="H236" s="105">
        <f t="shared" si="26"/>
        <v>102.49999999999999</v>
      </c>
    </row>
    <row r="237" spans="1:17" ht="26.25" customHeight="1">
      <c r="A237" s="144"/>
      <c r="B237" s="167" t="s">
        <v>173</v>
      </c>
      <c r="C237" s="327"/>
      <c r="D237" s="64">
        <v>24.3</v>
      </c>
      <c r="E237" s="64">
        <v>107.8</v>
      </c>
      <c r="F237" s="64">
        <f>73.7-4</f>
        <v>69.7</v>
      </c>
      <c r="G237" s="105">
        <f t="shared" si="25"/>
        <v>-38.099999999999994</v>
      </c>
      <c r="H237" s="105">
        <f t="shared" si="26"/>
        <v>64.656771799628942</v>
      </c>
    </row>
    <row r="238" spans="1:17" s="76" customFormat="1" ht="26.25" customHeight="1">
      <c r="A238" s="308" t="s">
        <v>223</v>
      </c>
      <c r="B238" s="296" t="s">
        <v>336</v>
      </c>
      <c r="C238" s="272"/>
      <c r="D238" s="61">
        <f>D240</f>
        <v>7</v>
      </c>
      <c r="E238" s="61"/>
      <c r="F238" s="61">
        <f>F240</f>
        <v>6.5</v>
      </c>
      <c r="G238" s="105">
        <f t="shared" si="25"/>
        <v>6.5</v>
      </c>
      <c r="H238" s="278" t="e">
        <f t="shared" si="26"/>
        <v>#DIV/0!</v>
      </c>
      <c r="J238" s="257"/>
      <c r="O238" s="325"/>
      <c r="P238" s="325"/>
      <c r="Q238" s="325"/>
    </row>
    <row r="239" spans="1:17" ht="26.25" customHeight="1">
      <c r="A239" s="144"/>
      <c r="B239" s="268" t="s">
        <v>85</v>
      </c>
      <c r="C239" s="58"/>
      <c r="D239" s="64"/>
      <c r="E239" s="64"/>
      <c r="F239" s="64"/>
      <c r="G239" s="105"/>
      <c r="H239" s="278"/>
    </row>
    <row r="240" spans="1:17" ht="26.25" customHeight="1">
      <c r="A240" s="269" t="s">
        <v>225</v>
      </c>
      <c r="B240" s="313" t="s">
        <v>12</v>
      </c>
      <c r="C240" s="306">
        <v>1030</v>
      </c>
      <c r="D240" s="104">
        <f>D241</f>
        <v>7</v>
      </c>
      <c r="E240" s="61"/>
      <c r="F240" s="61">
        <f>F241</f>
        <v>6.5</v>
      </c>
      <c r="G240" s="104">
        <f t="shared" si="25"/>
        <v>6.5</v>
      </c>
      <c r="H240" s="292" t="e">
        <f t="shared" si="26"/>
        <v>#DIV/0!</v>
      </c>
    </row>
    <row r="241" spans="1:17" s="76" customFormat="1" ht="26.25" customHeight="1">
      <c r="A241" s="310" t="s">
        <v>226</v>
      </c>
      <c r="B241" s="307" t="s">
        <v>92</v>
      </c>
      <c r="C241" s="272">
        <v>1035</v>
      </c>
      <c r="D241" s="80">
        <f>D242+D243+D244</f>
        <v>7</v>
      </c>
      <c r="E241" s="80"/>
      <c r="F241" s="80">
        <f>F242+F243+F244</f>
        <v>6.5</v>
      </c>
      <c r="G241" s="273">
        <f t="shared" si="25"/>
        <v>6.5</v>
      </c>
      <c r="H241" s="280" t="e">
        <f t="shared" si="26"/>
        <v>#DIV/0!</v>
      </c>
      <c r="J241" s="257"/>
      <c r="O241" s="325"/>
      <c r="P241" s="325"/>
      <c r="Q241" s="325"/>
    </row>
    <row r="242" spans="1:17" ht="26.25" customHeight="1">
      <c r="A242" s="312"/>
      <c r="B242" s="167" t="s">
        <v>171</v>
      </c>
      <c r="C242" s="276"/>
      <c r="D242" s="64">
        <v>2.1</v>
      </c>
      <c r="E242" s="64"/>
      <c r="F242" s="64">
        <v>2</v>
      </c>
      <c r="G242" s="105">
        <f t="shared" si="25"/>
        <v>2</v>
      </c>
      <c r="H242" s="278" t="e">
        <f t="shared" si="26"/>
        <v>#DIV/0!</v>
      </c>
    </row>
    <row r="243" spans="1:17" ht="26.25" customHeight="1">
      <c r="A243" s="269"/>
      <c r="B243" s="167" t="s">
        <v>172</v>
      </c>
      <c r="C243" s="276"/>
      <c r="D243" s="64">
        <v>0.7</v>
      </c>
      <c r="E243" s="64"/>
      <c r="F243" s="64">
        <v>0.5</v>
      </c>
      <c r="G243" s="105">
        <f t="shared" si="25"/>
        <v>0.5</v>
      </c>
      <c r="H243" s="278" t="e">
        <f t="shared" si="26"/>
        <v>#DIV/0!</v>
      </c>
    </row>
    <row r="244" spans="1:17" ht="24.75" customHeight="1">
      <c r="A244" s="144"/>
      <c r="B244" s="167" t="s">
        <v>173</v>
      </c>
      <c r="C244" s="101"/>
      <c r="D244" s="64">
        <v>4.2</v>
      </c>
      <c r="E244" s="61"/>
      <c r="F244" s="64">
        <v>4</v>
      </c>
      <c r="G244" s="105">
        <f t="shared" si="25"/>
        <v>4</v>
      </c>
      <c r="H244" s="278" t="e">
        <f t="shared" si="26"/>
        <v>#DIV/0!</v>
      </c>
    </row>
    <row r="245" spans="1:17" s="76" customFormat="1" ht="24.75" customHeight="1">
      <c r="A245" s="308" t="s">
        <v>694</v>
      </c>
      <c r="B245" s="328" t="s">
        <v>198</v>
      </c>
      <c r="C245" s="60"/>
      <c r="D245" s="61">
        <f>D247+D250</f>
        <v>30.1</v>
      </c>
      <c r="E245" s="61">
        <f>E247+E250</f>
        <v>24.6</v>
      </c>
      <c r="F245" s="61">
        <f>F247+F250</f>
        <v>49</v>
      </c>
      <c r="G245" s="105">
        <f t="shared" si="25"/>
        <v>24.4</v>
      </c>
      <c r="H245" s="105">
        <f t="shared" si="26"/>
        <v>199.18699186991867</v>
      </c>
      <c r="J245" s="257"/>
      <c r="O245" s="325"/>
      <c r="P245" s="325"/>
      <c r="Q245" s="325"/>
    </row>
    <row r="246" spans="1:17" ht="24.75" customHeight="1">
      <c r="A246" s="144"/>
      <c r="B246" s="268" t="s">
        <v>85</v>
      </c>
      <c r="C246" s="58"/>
      <c r="D246" s="64"/>
      <c r="E246" s="64"/>
      <c r="F246" s="64"/>
      <c r="G246" s="105"/>
      <c r="H246" s="105"/>
    </row>
    <row r="247" spans="1:17" ht="24.75" customHeight="1">
      <c r="A247" s="269" t="s">
        <v>613</v>
      </c>
      <c r="B247" s="298" t="s">
        <v>89</v>
      </c>
      <c r="C247" s="60">
        <v>1010</v>
      </c>
      <c r="D247" s="104">
        <f t="shared" ref="D247:F248" si="27">D248</f>
        <v>26.6</v>
      </c>
      <c r="E247" s="61">
        <f t="shared" si="27"/>
        <v>22</v>
      </c>
      <c r="F247" s="61">
        <f t="shared" si="27"/>
        <v>46</v>
      </c>
      <c r="G247" s="104">
        <f>F247-E247</f>
        <v>24</v>
      </c>
      <c r="H247" s="104">
        <f>(F247/E247)*100</f>
        <v>209.09090909090909</v>
      </c>
    </row>
    <row r="248" spans="1:17" ht="24.75" customHeight="1">
      <c r="A248" s="310" t="s">
        <v>614</v>
      </c>
      <c r="B248" s="271" t="s">
        <v>96</v>
      </c>
      <c r="C248" s="173">
        <v>1015</v>
      </c>
      <c r="D248" s="80">
        <f t="shared" si="27"/>
        <v>26.6</v>
      </c>
      <c r="E248" s="80">
        <f t="shared" si="27"/>
        <v>22</v>
      </c>
      <c r="F248" s="80">
        <f t="shared" si="27"/>
        <v>46</v>
      </c>
      <c r="G248" s="273">
        <f t="shared" ref="G248:G311" si="28">F248-E248</f>
        <v>24</v>
      </c>
      <c r="H248" s="273">
        <f t="shared" ref="H248:H311" si="29">(F248/E248)*100</f>
        <v>209.09090909090909</v>
      </c>
    </row>
    <row r="249" spans="1:17" ht="24.75" customHeight="1">
      <c r="A249" s="144"/>
      <c r="B249" s="167" t="s">
        <v>199</v>
      </c>
      <c r="C249" s="58"/>
      <c r="D249" s="64">
        <v>26.6</v>
      </c>
      <c r="E249" s="64">
        <v>22</v>
      </c>
      <c r="F249" s="64">
        <v>46</v>
      </c>
      <c r="G249" s="105">
        <f t="shared" si="28"/>
        <v>24</v>
      </c>
      <c r="H249" s="105">
        <f t="shared" si="29"/>
        <v>209.09090909090909</v>
      </c>
    </row>
    <row r="250" spans="1:17" ht="24.75" customHeight="1">
      <c r="A250" s="269" t="s">
        <v>615</v>
      </c>
      <c r="B250" s="291" t="s">
        <v>91</v>
      </c>
      <c r="C250" s="60">
        <v>1020</v>
      </c>
      <c r="D250" s="61">
        <f t="shared" ref="D250:F251" si="30">D251</f>
        <v>3.5</v>
      </c>
      <c r="E250" s="61">
        <f t="shared" si="30"/>
        <v>2.6</v>
      </c>
      <c r="F250" s="61">
        <f t="shared" si="30"/>
        <v>3</v>
      </c>
      <c r="G250" s="104">
        <f t="shared" si="28"/>
        <v>0.39999999999999991</v>
      </c>
      <c r="H250" s="104">
        <f t="shared" si="29"/>
        <v>115.38461538461537</v>
      </c>
    </row>
    <row r="251" spans="1:17" ht="24.75" customHeight="1">
      <c r="A251" s="310" t="s">
        <v>616</v>
      </c>
      <c r="B251" s="299" t="s">
        <v>176</v>
      </c>
      <c r="C251" s="272">
        <v>1025</v>
      </c>
      <c r="D251" s="80">
        <f t="shared" si="30"/>
        <v>3.5</v>
      </c>
      <c r="E251" s="80">
        <f t="shared" si="30"/>
        <v>2.6</v>
      </c>
      <c r="F251" s="80">
        <f t="shared" si="30"/>
        <v>3</v>
      </c>
      <c r="G251" s="273">
        <f t="shared" si="28"/>
        <v>0.39999999999999991</v>
      </c>
      <c r="H251" s="273">
        <f t="shared" si="29"/>
        <v>115.38461538461537</v>
      </c>
    </row>
    <row r="252" spans="1:17" ht="24.75" customHeight="1">
      <c r="A252" s="144"/>
      <c r="B252" s="84" t="s">
        <v>200</v>
      </c>
      <c r="C252" s="306"/>
      <c r="D252" s="64">
        <v>3.5</v>
      </c>
      <c r="E252" s="64">
        <v>2.6</v>
      </c>
      <c r="F252" s="64">
        <v>3</v>
      </c>
      <c r="G252" s="105">
        <f t="shared" si="28"/>
        <v>0.39999999999999991</v>
      </c>
      <c r="H252" s="105">
        <f t="shared" si="29"/>
        <v>115.38461538461537</v>
      </c>
    </row>
    <row r="253" spans="1:17" ht="24.75" customHeight="1">
      <c r="A253" s="269" t="s">
        <v>356</v>
      </c>
      <c r="B253" s="298" t="s">
        <v>510</v>
      </c>
      <c r="C253" s="101"/>
      <c r="D253" s="61">
        <f>D255</f>
        <v>16.2</v>
      </c>
      <c r="E253" s="61">
        <f>E255</f>
        <v>0</v>
      </c>
      <c r="F253" s="61">
        <f>F255</f>
        <v>19.7</v>
      </c>
      <c r="G253" s="105">
        <f t="shared" si="28"/>
        <v>19.7</v>
      </c>
      <c r="H253" s="278" t="e">
        <f t="shared" si="29"/>
        <v>#DIV/0!</v>
      </c>
    </row>
    <row r="254" spans="1:17" ht="24.75" customHeight="1">
      <c r="A254" s="308"/>
      <c r="B254" s="268" t="s">
        <v>85</v>
      </c>
      <c r="C254" s="58"/>
      <c r="D254" s="64"/>
      <c r="E254" s="64"/>
      <c r="F254" s="64"/>
      <c r="G254" s="105"/>
      <c r="H254" s="278"/>
    </row>
    <row r="255" spans="1:17" ht="24.75" customHeight="1">
      <c r="A255" s="269" t="s">
        <v>357</v>
      </c>
      <c r="B255" s="291" t="s">
        <v>92</v>
      </c>
      <c r="C255" s="60">
        <v>1030</v>
      </c>
      <c r="D255" s="61">
        <f>D256</f>
        <v>16.2</v>
      </c>
      <c r="E255" s="61"/>
      <c r="F255" s="61">
        <f>F256</f>
        <v>19.7</v>
      </c>
      <c r="G255" s="104">
        <f t="shared" si="28"/>
        <v>19.7</v>
      </c>
      <c r="H255" s="292" t="e">
        <f t="shared" si="29"/>
        <v>#DIV/0!</v>
      </c>
    </row>
    <row r="256" spans="1:17" ht="24.75" customHeight="1">
      <c r="A256" s="310" t="s">
        <v>617</v>
      </c>
      <c r="B256" s="294" t="s">
        <v>92</v>
      </c>
      <c r="C256" s="272">
        <v>1035</v>
      </c>
      <c r="D256" s="80">
        <f>D257</f>
        <v>16.2</v>
      </c>
      <c r="E256" s="80"/>
      <c r="F256" s="80">
        <f>F257</f>
        <v>19.7</v>
      </c>
      <c r="G256" s="273">
        <f t="shared" si="28"/>
        <v>19.7</v>
      </c>
      <c r="H256" s="280" t="e">
        <f t="shared" si="29"/>
        <v>#DIV/0!</v>
      </c>
    </row>
    <row r="257" spans="1:13" ht="24.75" customHeight="1">
      <c r="A257" s="144"/>
      <c r="B257" s="84" t="s">
        <v>236</v>
      </c>
      <c r="C257" s="329"/>
      <c r="D257" s="144">
        <v>16.2</v>
      </c>
      <c r="E257" s="61"/>
      <c r="F257" s="64">
        <v>19.7</v>
      </c>
      <c r="G257" s="105">
        <f t="shared" si="28"/>
        <v>19.7</v>
      </c>
      <c r="H257" s="278" t="e">
        <f t="shared" si="29"/>
        <v>#DIV/0!</v>
      </c>
    </row>
    <row r="258" spans="1:13" ht="27.75" customHeight="1">
      <c r="A258" s="308" t="s">
        <v>358</v>
      </c>
      <c r="B258" s="309" t="s">
        <v>220</v>
      </c>
      <c r="C258" s="55"/>
      <c r="D258" s="61">
        <f>D260+D280+D285</f>
        <v>2173.8000000000002</v>
      </c>
      <c r="E258" s="64">
        <f>E260</f>
        <v>0</v>
      </c>
      <c r="F258" s="61">
        <f>F260+F280+F285</f>
        <v>3173.7</v>
      </c>
      <c r="G258" s="105">
        <f t="shared" si="28"/>
        <v>3173.7</v>
      </c>
      <c r="H258" s="278" t="e">
        <f t="shared" si="29"/>
        <v>#DIV/0!</v>
      </c>
      <c r="L258" s="49">
        <v>38.299999999999997</v>
      </c>
      <c r="M258" s="49">
        <v>0.3</v>
      </c>
    </row>
    <row r="259" spans="1:13" ht="24.75" customHeight="1">
      <c r="A259" s="312"/>
      <c r="B259" s="268" t="s">
        <v>85</v>
      </c>
      <c r="C259" s="58"/>
      <c r="D259" s="64"/>
      <c r="E259" s="64"/>
      <c r="F259" s="64"/>
      <c r="G259" s="105"/>
      <c r="H259" s="278"/>
    </row>
    <row r="260" spans="1:13" ht="24.75" customHeight="1">
      <c r="A260" s="269" t="s">
        <v>359</v>
      </c>
      <c r="B260" s="291" t="s">
        <v>89</v>
      </c>
      <c r="C260" s="60">
        <v>1010</v>
      </c>
      <c r="D260" s="61">
        <f>D261+D268</f>
        <v>2012.7</v>
      </c>
      <c r="E260" s="61"/>
      <c r="F260" s="61">
        <f>F261+F268</f>
        <v>3083.5</v>
      </c>
      <c r="G260" s="104">
        <f t="shared" si="28"/>
        <v>3083.5</v>
      </c>
      <c r="H260" s="292" t="e">
        <f t="shared" si="29"/>
        <v>#DIV/0!</v>
      </c>
    </row>
    <row r="261" spans="1:13" ht="24.75" customHeight="1">
      <c r="A261" s="310" t="s">
        <v>618</v>
      </c>
      <c r="B261" s="299" t="s">
        <v>105</v>
      </c>
      <c r="C261" s="272">
        <v>1011</v>
      </c>
      <c r="D261" s="80">
        <f>SUM(D262:D267)</f>
        <v>1780.6000000000001</v>
      </c>
      <c r="E261" s="80"/>
      <c r="F261" s="80">
        <f>SUM(F262:F267)</f>
        <v>2689.4</v>
      </c>
      <c r="G261" s="273">
        <f t="shared" si="28"/>
        <v>2689.4</v>
      </c>
      <c r="H261" s="280" t="e">
        <f t="shared" si="29"/>
        <v>#DIV/0!</v>
      </c>
    </row>
    <row r="262" spans="1:13" ht="24.75" customHeight="1">
      <c r="A262" s="269"/>
      <c r="B262" s="84" t="s">
        <v>178</v>
      </c>
      <c r="C262" s="306"/>
      <c r="D262" s="64">
        <v>0.9</v>
      </c>
      <c r="E262" s="64"/>
      <c r="F262" s="64">
        <f>0.9</f>
        <v>0.9</v>
      </c>
      <c r="G262" s="105">
        <f t="shared" si="28"/>
        <v>0.9</v>
      </c>
      <c r="H262" s="278" t="e">
        <f t="shared" si="29"/>
        <v>#DIV/0!</v>
      </c>
    </row>
    <row r="263" spans="1:13" ht="24.75" customHeight="1">
      <c r="A263" s="269"/>
      <c r="B263" s="84" t="s">
        <v>210</v>
      </c>
      <c r="C263" s="306"/>
      <c r="D263" s="64">
        <v>1676.7</v>
      </c>
      <c r="E263" s="64"/>
      <c r="F263" s="64">
        <f>2440.4-128.2-38.3-0.3</f>
        <v>2273.6</v>
      </c>
      <c r="G263" s="105">
        <f t="shared" si="28"/>
        <v>2273.6</v>
      </c>
      <c r="H263" s="278" t="e">
        <f t="shared" si="29"/>
        <v>#DIV/0!</v>
      </c>
    </row>
    <row r="264" spans="1:13" ht="22.5" customHeight="1">
      <c r="A264" s="269"/>
      <c r="B264" s="84" t="s">
        <v>137</v>
      </c>
      <c r="C264" s="306"/>
      <c r="D264" s="64">
        <v>35</v>
      </c>
      <c r="E264" s="64"/>
      <c r="F264" s="64">
        <v>355</v>
      </c>
      <c r="G264" s="105">
        <f t="shared" si="28"/>
        <v>355</v>
      </c>
      <c r="H264" s="278" t="e">
        <f t="shared" si="29"/>
        <v>#DIV/0!</v>
      </c>
    </row>
    <row r="265" spans="1:13" ht="25.5" customHeight="1">
      <c r="A265" s="269"/>
      <c r="B265" s="84" t="s">
        <v>162</v>
      </c>
      <c r="C265" s="306"/>
      <c r="D265" s="64">
        <v>3.1</v>
      </c>
      <c r="E265" s="64"/>
      <c r="F265" s="64">
        <v>2.1</v>
      </c>
      <c r="G265" s="105">
        <f t="shared" si="28"/>
        <v>2.1</v>
      </c>
      <c r="H265" s="278" t="e">
        <f t="shared" si="29"/>
        <v>#DIV/0!</v>
      </c>
    </row>
    <row r="266" spans="1:13" ht="23.25" customHeight="1">
      <c r="A266" s="269"/>
      <c r="B266" s="84" t="s">
        <v>504</v>
      </c>
      <c r="C266" s="306"/>
      <c r="D266" s="64">
        <v>6.5</v>
      </c>
      <c r="E266" s="64"/>
      <c r="F266" s="64"/>
      <c r="G266" s="105">
        <f t="shared" si="28"/>
        <v>0</v>
      </c>
      <c r="H266" s="278" t="e">
        <f t="shared" si="29"/>
        <v>#DIV/0!</v>
      </c>
    </row>
    <row r="267" spans="1:13" ht="39.75" customHeight="1">
      <c r="A267" s="269"/>
      <c r="B267" s="167" t="s">
        <v>211</v>
      </c>
      <c r="C267" s="306"/>
      <c r="D267" s="64">
        <v>58.4</v>
      </c>
      <c r="E267" s="64"/>
      <c r="F267" s="64">
        <v>57.8</v>
      </c>
      <c r="G267" s="105">
        <f t="shared" si="28"/>
        <v>57.8</v>
      </c>
      <c r="H267" s="278" t="e">
        <f t="shared" si="29"/>
        <v>#DIV/0!</v>
      </c>
    </row>
    <row r="268" spans="1:13" ht="24.75" customHeight="1">
      <c r="A268" s="310" t="s">
        <v>619</v>
      </c>
      <c r="B268" s="170" t="s">
        <v>96</v>
      </c>
      <c r="C268" s="173">
        <v>1015</v>
      </c>
      <c r="D268" s="80">
        <f>SUM(D269:D279)</f>
        <v>232.1</v>
      </c>
      <c r="E268" s="80">
        <f>SUM(E270:E279)</f>
        <v>0</v>
      </c>
      <c r="F268" s="80">
        <f>SUM(F269:F279)</f>
        <v>394.09999999999997</v>
      </c>
      <c r="G268" s="273">
        <f t="shared" si="28"/>
        <v>394.09999999999997</v>
      </c>
      <c r="H268" s="280" t="e">
        <f t="shared" si="29"/>
        <v>#DIV/0!</v>
      </c>
    </row>
    <row r="269" spans="1:13" ht="24.75" customHeight="1">
      <c r="A269" s="269"/>
      <c r="B269" s="65" t="s">
        <v>144</v>
      </c>
      <c r="C269" s="55"/>
      <c r="D269" s="64">
        <v>9.4</v>
      </c>
      <c r="E269" s="61"/>
      <c r="F269" s="64">
        <v>0.4</v>
      </c>
      <c r="G269" s="105">
        <f t="shared" si="28"/>
        <v>0.4</v>
      </c>
      <c r="H269" s="278" t="e">
        <f t="shared" si="29"/>
        <v>#DIV/0!</v>
      </c>
    </row>
    <row r="270" spans="1:13" ht="24.75" customHeight="1">
      <c r="A270" s="269"/>
      <c r="B270" s="65" t="s">
        <v>148</v>
      </c>
      <c r="C270" s="60"/>
      <c r="D270" s="64">
        <v>19.399999999999999</v>
      </c>
      <c r="E270" s="64"/>
      <c r="F270" s="64">
        <f>2.1+4.6</f>
        <v>6.6999999999999993</v>
      </c>
      <c r="G270" s="105">
        <f t="shared" si="28"/>
        <v>6.6999999999999993</v>
      </c>
      <c r="H270" s="278" t="e">
        <f t="shared" si="29"/>
        <v>#DIV/0!</v>
      </c>
    </row>
    <row r="271" spans="1:13" ht="24.75" customHeight="1">
      <c r="A271" s="269"/>
      <c r="B271" s="65" t="s">
        <v>199</v>
      </c>
      <c r="C271" s="60"/>
      <c r="D271" s="64">
        <v>21.8</v>
      </c>
      <c r="E271" s="64"/>
      <c r="F271" s="64">
        <v>2.6</v>
      </c>
      <c r="G271" s="105">
        <f t="shared" si="28"/>
        <v>2.6</v>
      </c>
      <c r="H271" s="278" t="e">
        <f t="shared" si="29"/>
        <v>#DIV/0!</v>
      </c>
    </row>
    <row r="272" spans="1:13" ht="24.75" customHeight="1">
      <c r="A272" s="269"/>
      <c r="B272" s="65" t="s">
        <v>150</v>
      </c>
      <c r="C272" s="60"/>
      <c r="D272" s="64">
        <v>2.2000000000000002</v>
      </c>
      <c r="E272" s="64"/>
      <c r="F272" s="64">
        <v>1.9</v>
      </c>
      <c r="G272" s="105">
        <f t="shared" si="28"/>
        <v>1.9</v>
      </c>
      <c r="H272" s="278" t="e">
        <f t="shared" si="29"/>
        <v>#DIV/0!</v>
      </c>
    </row>
    <row r="273" spans="1:17" ht="24.75" customHeight="1">
      <c r="A273" s="269"/>
      <c r="B273" s="65" t="s">
        <v>164</v>
      </c>
      <c r="C273" s="60"/>
      <c r="D273" s="64">
        <v>1.3</v>
      </c>
      <c r="E273" s="64"/>
      <c r="F273" s="64"/>
      <c r="G273" s="105">
        <f t="shared" si="28"/>
        <v>0</v>
      </c>
      <c r="H273" s="278" t="e">
        <f t="shared" si="29"/>
        <v>#DIV/0!</v>
      </c>
    </row>
    <row r="274" spans="1:17" ht="24.75" customHeight="1">
      <c r="A274" s="269"/>
      <c r="B274" s="65" t="s">
        <v>508</v>
      </c>
      <c r="C274" s="60"/>
      <c r="D274" s="64">
        <v>2.5</v>
      </c>
      <c r="E274" s="64"/>
      <c r="F274" s="64">
        <v>1.2</v>
      </c>
      <c r="G274" s="105">
        <f t="shared" si="28"/>
        <v>1.2</v>
      </c>
      <c r="H274" s="278" t="e">
        <f t="shared" si="29"/>
        <v>#DIV/0!</v>
      </c>
    </row>
    <row r="275" spans="1:17" ht="24.75" customHeight="1">
      <c r="A275" s="269"/>
      <c r="B275" s="65" t="s">
        <v>597</v>
      </c>
      <c r="C275" s="60"/>
      <c r="D275" s="64"/>
      <c r="E275" s="64"/>
      <c r="F275" s="64">
        <v>4.5</v>
      </c>
      <c r="G275" s="105">
        <f t="shared" si="28"/>
        <v>4.5</v>
      </c>
      <c r="H275" s="278" t="e">
        <f t="shared" si="29"/>
        <v>#DIV/0!</v>
      </c>
    </row>
    <row r="276" spans="1:17" ht="24.75" customHeight="1">
      <c r="A276" s="269"/>
      <c r="B276" s="65" t="s">
        <v>165</v>
      </c>
      <c r="C276" s="60"/>
      <c r="D276" s="64">
        <v>4.8</v>
      </c>
      <c r="E276" s="64"/>
      <c r="F276" s="64">
        <v>6.8</v>
      </c>
      <c r="G276" s="105">
        <f t="shared" si="28"/>
        <v>6.8</v>
      </c>
      <c r="H276" s="278" t="e">
        <f t="shared" si="29"/>
        <v>#DIV/0!</v>
      </c>
    </row>
    <row r="277" spans="1:17" ht="24.75" customHeight="1">
      <c r="A277" s="269"/>
      <c r="B277" s="65" t="s">
        <v>171</v>
      </c>
      <c r="C277" s="60"/>
      <c r="D277" s="64"/>
      <c r="E277" s="64"/>
      <c r="F277" s="64">
        <v>4.9000000000000004</v>
      </c>
      <c r="G277" s="105">
        <f t="shared" si="28"/>
        <v>4.9000000000000004</v>
      </c>
      <c r="H277" s="278" t="e">
        <f t="shared" si="29"/>
        <v>#DIV/0!</v>
      </c>
    </row>
    <row r="278" spans="1:17" ht="24.75" customHeight="1">
      <c r="A278" s="269"/>
      <c r="B278" s="65" t="s">
        <v>275</v>
      </c>
      <c r="C278" s="55"/>
      <c r="D278" s="64">
        <v>1.4</v>
      </c>
      <c r="E278" s="64"/>
      <c r="F278" s="64">
        <f>2.1+0.7</f>
        <v>2.8</v>
      </c>
      <c r="G278" s="105">
        <f t="shared" si="28"/>
        <v>2.8</v>
      </c>
      <c r="H278" s="278" t="e">
        <f t="shared" si="29"/>
        <v>#DIV/0!</v>
      </c>
    </row>
    <row r="279" spans="1:17" ht="24.75" customHeight="1">
      <c r="A279" s="144"/>
      <c r="B279" s="167" t="s">
        <v>166</v>
      </c>
      <c r="C279" s="58"/>
      <c r="D279" s="64">
        <v>169.3</v>
      </c>
      <c r="E279" s="64"/>
      <c r="F279" s="64">
        <f>147.5+152-85.4+148.2</f>
        <v>362.29999999999995</v>
      </c>
      <c r="G279" s="105">
        <f t="shared" si="28"/>
        <v>362.29999999999995</v>
      </c>
      <c r="H279" s="278" t="e">
        <f t="shared" si="29"/>
        <v>#DIV/0!</v>
      </c>
    </row>
    <row r="280" spans="1:17" ht="24.75" customHeight="1">
      <c r="A280" s="269" t="s">
        <v>620</v>
      </c>
      <c r="B280" s="291" t="s">
        <v>91</v>
      </c>
      <c r="C280" s="60">
        <v>1020</v>
      </c>
      <c r="D280" s="61">
        <f>D281</f>
        <v>160.70000000000002</v>
      </c>
      <c r="E280" s="61">
        <f>E281</f>
        <v>0</v>
      </c>
      <c r="F280" s="61">
        <f>F281</f>
        <v>90.2</v>
      </c>
      <c r="G280" s="104">
        <f t="shared" si="28"/>
        <v>90.2</v>
      </c>
      <c r="H280" s="292" t="e">
        <f t="shared" si="29"/>
        <v>#DIV/0!</v>
      </c>
    </row>
    <row r="281" spans="1:17" ht="24.75" customHeight="1">
      <c r="A281" s="310" t="s">
        <v>621</v>
      </c>
      <c r="B281" s="299" t="s">
        <v>176</v>
      </c>
      <c r="C281" s="272">
        <v>1025</v>
      </c>
      <c r="D281" s="80">
        <f>SUM(D282:D284)</f>
        <v>160.70000000000002</v>
      </c>
      <c r="E281" s="80">
        <f>SUM(E282:E283)</f>
        <v>0</v>
      </c>
      <c r="F281" s="80">
        <f>SUM(F282:F284)</f>
        <v>90.2</v>
      </c>
      <c r="G281" s="273">
        <f t="shared" si="28"/>
        <v>90.2</v>
      </c>
      <c r="H281" s="280" t="e">
        <f t="shared" si="29"/>
        <v>#DIV/0!</v>
      </c>
    </row>
    <row r="282" spans="1:17" ht="24.75" customHeight="1">
      <c r="A282" s="269"/>
      <c r="B282" s="167" t="s">
        <v>167</v>
      </c>
      <c r="C282" s="55"/>
      <c r="D282" s="64">
        <v>1.4</v>
      </c>
      <c r="E282" s="64"/>
      <c r="F282" s="64">
        <v>4.8</v>
      </c>
      <c r="G282" s="105">
        <f t="shared" si="28"/>
        <v>4.8</v>
      </c>
      <c r="H282" s="278" t="e">
        <f t="shared" si="29"/>
        <v>#DIV/0!</v>
      </c>
    </row>
    <row r="283" spans="1:17" ht="24.75" customHeight="1">
      <c r="A283" s="269"/>
      <c r="B283" s="167" t="s">
        <v>213</v>
      </c>
      <c r="C283" s="55"/>
      <c r="D283" s="64">
        <v>158.9</v>
      </c>
      <c r="E283" s="64"/>
      <c r="F283" s="64">
        <v>85.4</v>
      </c>
      <c r="G283" s="105">
        <f t="shared" si="28"/>
        <v>85.4</v>
      </c>
      <c r="H283" s="278" t="e">
        <f t="shared" si="29"/>
        <v>#DIV/0!</v>
      </c>
    </row>
    <row r="284" spans="1:17" ht="24.75" customHeight="1">
      <c r="A284" s="269"/>
      <c r="B284" s="167" t="s">
        <v>509</v>
      </c>
      <c r="C284" s="55"/>
      <c r="D284" s="64">
        <v>0.4</v>
      </c>
      <c r="E284" s="64"/>
      <c r="F284" s="64"/>
      <c r="G284" s="105">
        <f t="shared" si="28"/>
        <v>0</v>
      </c>
      <c r="H284" s="278" t="e">
        <f t="shared" si="29"/>
        <v>#DIV/0!</v>
      </c>
    </row>
    <row r="285" spans="1:17" ht="24.75" customHeight="1">
      <c r="A285" s="269" t="s">
        <v>622</v>
      </c>
      <c r="B285" s="291" t="s">
        <v>92</v>
      </c>
      <c r="C285" s="60">
        <v>1030</v>
      </c>
      <c r="D285" s="61">
        <f>D286</f>
        <v>0.4</v>
      </c>
      <c r="E285" s="61"/>
      <c r="F285" s="61"/>
      <c r="G285" s="104">
        <f t="shared" si="28"/>
        <v>0</v>
      </c>
      <c r="H285" s="292" t="e">
        <f t="shared" si="29"/>
        <v>#DIV/0!</v>
      </c>
    </row>
    <row r="286" spans="1:17" ht="24.75" customHeight="1">
      <c r="A286" s="310" t="s">
        <v>623</v>
      </c>
      <c r="B286" s="294" t="s">
        <v>92</v>
      </c>
      <c r="C286" s="330">
        <v>1035</v>
      </c>
      <c r="D286" s="61">
        <v>0.4</v>
      </c>
      <c r="E286" s="61"/>
      <c r="F286" s="61"/>
      <c r="G286" s="104">
        <f t="shared" si="28"/>
        <v>0</v>
      </c>
      <c r="H286" s="292" t="e">
        <f t="shared" si="29"/>
        <v>#DIV/0!</v>
      </c>
    </row>
    <row r="287" spans="1:17" ht="24.75" customHeight="1">
      <c r="A287" s="144"/>
      <c r="B287" s="84" t="s">
        <v>253</v>
      </c>
      <c r="C287" s="101"/>
      <c r="D287" s="61">
        <v>0.4</v>
      </c>
      <c r="E287" s="61">
        <f>E289+E318</f>
        <v>0</v>
      </c>
      <c r="F287" s="61"/>
      <c r="G287" s="105">
        <f t="shared" si="28"/>
        <v>0</v>
      </c>
      <c r="H287" s="278" t="e">
        <f t="shared" si="29"/>
        <v>#DIV/0!</v>
      </c>
    </row>
    <row r="288" spans="1:17" s="76" customFormat="1" ht="24.75" customHeight="1">
      <c r="A288" s="308" t="s">
        <v>230</v>
      </c>
      <c r="B288" s="296" t="s">
        <v>224</v>
      </c>
      <c r="C288" s="60"/>
      <c r="D288" s="61">
        <f>D290+D319</f>
        <v>260</v>
      </c>
      <c r="E288" s="61">
        <f>E290+E319</f>
        <v>0</v>
      </c>
      <c r="F288" s="61">
        <f>F290+F319</f>
        <v>555.79999999999995</v>
      </c>
      <c r="G288" s="105">
        <f t="shared" si="28"/>
        <v>555.79999999999995</v>
      </c>
      <c r="H288" s="278" t="e">
        <f t="shared" si="29"/>
        <v>#DIV/0!</v>
      </c>
      <c r="J288" s="257"/>
      <c r="K288" s="77"/>
      <c r="O288" s="325"/>
      <c r="P288" s="325"/>
      <c r="Q288" s="325"/>
    </row>
    <row r="289" spans="1:11" ht="24.75" customHeight="1">
      <c r="A289" s="144"/>
      <c r="B289" s="297" t="s">
        <v>85</v>
      </c>
      <c r="C289" s="58"/>
      <c r="D289" s="64"/>
      <c r="E289" s="64"/>
      <c r="F289" s="64"/>
      <c r="G289" s="105"/>
      <c r="H289" s="278"/>
      <c r="K289" s="66"/>
    </row>
    <row r="290" spans="1:11" ht="24.75" customHeight="1">
      <c r="A290" s="269" t="s">
        <v>624</v>
      </c>
      <c r="B290" s="291" t="s">
        <v>89</v>
      </c>
      <c r="C290" s="60">
        <v>1010</v>
      </c>
      <c r="D290" s="61">
        <f>D291+D298+D299</f>
        <v>176.8</v>
      </c>
      <c r="E290" s="61">
        <f>E291+E298+E299</f>
        <v>0</v>
      </c>
      <c r="F290" s="61">
        <f>F291+F298+F299</f>
        <v>365.8</v>
      </c>
      <c r="G290" s="104">
        <f t="shared" si="28"/>
        <v>365.8</v>
      </c>
      <c r="H290" s="292" t="e">
        <f t="shared" si="29"/>
        <v>#DIV/0!</v>
      </c>
    </row>
    <row r="291" spans="1:11" ht="24.75" customHeight="1">
      <c r="A291" s="310" t="s">
        <v>232</v>
      </c>
      <c r="B291" s="299" t="s">
        <v>105</v>
      </c>
      <c r="C291" s="272">
        <v>1011</v>
      </c>
      <c r="D291" s="80">
        <f>SUM(D292:D297)</f>
        <v>95.7</v>
      </c>
      <c r="E291" s="80">
        <f>SUM(E292:E297)</f>
        <v>0</v>
      </c>
      <c r="F291" s="80">
        <f>SUM(F292:F297)</f>
        <v>228.10000000000002</v>
      </c>
      <c r="G291" s="273">
        <f t="shared" si="28"/>
        <v>228.10000000000002</v>
      </c>
      <c r="H291" s="280" t="e">
        <f t="shared" si="29"/>
        <v>#DIV/0!</v>
      </c>
    </row>
    <row r="292" spans="1:11" ht="24.75" customHeight="1">
      <c r="A292" s="312"/>
      <c r="B292" s="84" t="s">
        <v>178</v>
      </c>
      <c r="C292" s="306"/>
      <c r="D292" s="64"/>
      <c r="E292" s="64"/>
      <c r="F292" s="64">
        <f>5.3+0.6</f>
        <v>5.8999999999999995</v>
      </c>
      <c r="G292" s="105">
        <f t="shared" si="28"/>
        <v>5.8999999999999995</v>
      </c>
      <c r="H292" s="278" t="e">
        <f t="shared" si="29"/>
        <v>#DIV/0!</v>
      </c>
    </row>
    <row r="293" spans="1:11" ht="24.75" customHeight="1">
      <c r="A293" s="312"/>
      <c r="B293" s="84" t="s">
        <v>227</v>
      </c>
      <c r="C293" s="306"/>
      <c r="D293" s="64">
        <v>1.2</v>
      </c>
      <c r="E293" s="64"/>
      <c r="F293" s="64">
        <v>52.5</v>
      </c>
      <c r="G293" s="105">
        <f t="shared" si="28"/>
        <v>52.5</v>
      </c>
      <c r="H293" s="278" t="e">
        <f t="shared" si="29"/>
        <v>#DIV/0!</v>
      </c>
    </row>
    <row r="294" spans="1:11" ht="24" customHeight="1">
      <c r="A294" s="312"/>
      <c r="B294" s="84" t="s">
        <v>137</v>
      </c>
      <c r="C294" s="306"/>
      <c r="D294" s="64">
        <v>9.4</v>
      </c>
      <c r="E294" s="64"/>
      <c r="F294" s="64">
        <v>30.2</v>
      </c>
      <c r="G294" s="105">
        <f t="shared" si="28"/>
        <v>30.2</v>
      </c>
      <c r="H294" s="278" t="e">
        <f t="shared" si="29"/>
        <v>#DIV/0!</v>
      </c>
    </row>
    <row r="295" spans="1:11" ht="42" customHeight="1">
      <c r="A295" s="312"/>
      <c r="B295" s="167" t="s">
        <v>211</v>
      </c>
      <c r="C295" s="306"/>
      <c r="D295" s="64">
        <v>36.1</v>
      </c>
      <c r="E295" s="64"/>
      <c r="F295" s="64">
        <f>38+24.2+13.1+6.4+4</f>
        <v>85.7</v>
      </c>
      <c r="G295" s="105">
        <f t="shared" si="28"/>
        <v>85.7</v>
      </c>
      <c r="H295" s="278" t="e">
        <f t="shared" si="29"/>
        <v>#DIV/0!</v>
      </c>
    </row>
    <row r="296" spans="1:11" ht="25.5" customHeight="1">
      <c r="A296" s="312"/>
      <c r="B296" s="167" t="s">
        <v>504</v>
      </c>
      <c r="C296" s="306"/>
      <c r="D296" s="64">
        <v>10.1</v>
      </c>
      <c r="E296" s="64"/>
      <c r="F296" s="64"/>
      <c r="G296" s="105">
        <f t="shared" si="28"/>
        <v>0</v>
      </c>
      <c r="H296" s="278" t="e">
        <f t="shared" si="29"/>
        <v>#DIV/0!</v>
      </c>
    </row>
    <row r="297" spans="1:11" ht="24.75" customHeight="1">
      <c r="A297" s="144"/>
      <c r="B297" s="167" t="s">
        <v>221</v>
      </c>
      <c r="C297" s="58"/>
      <c r="D297" s="64">
        <v>38.9</v>
      </c>
      <c r="E297" s="64"/>
      <c r="F297" s="64">
        <f>12.9+10.9+30</f>
        <v>53.8</v>
      </c>
      <c r="G297" s="105">
        <f t="shared" si="28"/>
        <v>53.8</v>
      </c>
      <c r="H297" s="278" t="e">
        <f t="shared" si="29"/>
        <v>#DIV/0!</v>
      </c>
    </row>
    <row r="298" spans="1:11" ht="24.75" customHeight="1">
      <c r="A298" s="269" t="s">
        <v>360</v>
      </c>
      <c r="B298" s="305" t="s">
        <v>4</v>
      </c>
      <c r="C298" s="60">
        <v>1014</v>
      </c>
      <c r="D298" s="61">
        <v>29.7</v>
      </c>
      <c r="E298" s="61">
        <f>SUM(E299:E306)</f>
        <v>0</v>
      </c>
      <c r="F298" s="61">
        <v>38.9</v>
      </c>
      <c r="G298" s="104">
        <f t="shared" si="28"/>
        <v>38.9</v>
      </c>
      <c r="H298" s="292" t="e">
        <f t="shared" si="29"/>
        <v>#DIV/0!</v>
      </c>
    </row>
    <row r="299" spans="1:11" ht="24.75" customHeight="1">
      <c r="A299" s="310" t="s">
        <v>625</v>
      </c>
      <c r="B299" s="170" t="s">
        <v>96</v>
      </c>
      <c r="C299" s="173">
        <v>1015</v>
      </c>
      <c r="D299" s="80">
        <f>SUM(D300:D318)</f>
        <v>51.4</v>
      </c>
      <c r="E299" s="80">
        <f>SUM(E300:E318)</f>
        <v>0</v>
      </c>
      <c r="F299" s="80">
        <f>SUM(F300:F318)</f>
        <v>98.8</v>
      </c>
      <c r="G299" s="273">
        <f t="shared" si="28"/>
        <v>98.8</v>
      </c>
      <c r="H299" s="280" t="e">
        <f t="shared" si="29"/>
        <v>#DIV/0!</v>
      </c>
    </row>
    <row r="300" spans="1:11" ht="24.75" customHeight="1">
      <c r="A300" s="269"/>
      <c r="B300" s="167" t="s">
        <v>147</v>
      </c>
      <c r="C300" s="60"/>
      <c r="D300" s="64"/>
      <c r="E300" s="64"/>
      <c r="F300" s="64">
        <v>4.3</v>
      </c>
      <c r="G300" s="105">
        <f t="shared" si="28"/>
        <v>4.3</v>
      </c>
      <c r="H300" s="278" t="e">
        <f t="shared" si="29"/>
        <v>#DIV/0!</v>
      </c>
    </row>
    <row r="301" spans="1:11" ht="24.75" customHeight="1">
      <c r="A301" s="269"/>
      <c r="B301" s="167" t="s">
        <v>148</v>
      </c>
      <c r="C301" s="306"/>
      <c r="D301" s="64"/>
      <c r="E301" s="64"/>
      <c r="F301" s="64">
        <v>4.4000000000000004</v>
      </c>
      <c r="G301" s="105">
        <f t="shared" si="28"/>
        <v>4.4000000000000004</v>
      </c>
      <c r="H301" s="278" t="e">
        <f t="shared" si="29"/>
        <v>#DIV/0!</v>
      </c>
    </row>
    <row r="302" spans="1:11" ht="24.75" customHeight="1">
      <c r="A302" s="269"/>
      <c r="B302" s="167" t="s">
        <v>152</v>
      </c>
      <c r="C302" s="306"/>
      <c r="D302" s="64"/>
      <c r="E302" s="64"/>
      <c r="F302" s="64">
        <v>0.9</v>
      </c>
      <c r="G302" s="105">
        <f t="shared" si="28"/>
        <v>0.9</v>
      </c>
      <c r="H302" s="278" t="e">
        <f t="shared" si="29"/>
        <v>#DIV/0!</v>
      </c>
    </row>
    <row r="303" spans="1:11" ht="24.75" customHeight="1">
      <c r="A303" s="269"/>
      <c r="B303" s="167" t="s">
        <v>149</v>
      </c>
      <c r="C303" s="306"/>
      <c r="D303" s="64">
        <v>11.1</v>
      </c>
      <c r="E303" s="64"/>
      <c r="F303" s="64">
        <f>8+11.5</f>
        <v>19.5</v>
      </c>
      <c r="G303" s="105">
        <f t="shared" si="28"/>
        <v>19.5</v>
      </c>
      <c r="H303" s="278" t="e">
        <f t="shared" si="29"/>
        <v>#DIV/0!</v>
      </c>
    </row>
    <row r="304" spans="1:11" ht="24.75" customHeight="1">
      <c r="A304" s="269"/>
      <c r="B304" s="167" t="s">
        <v>150</v>
      </c>
      <c r="C304" s="306"/>
      <c r="D304" s="64">
        <v>8.1</v>
      </c>
      <c r="E304" s="64"/>
      <c r="F304" s="64"/>
      <c r="G304" s="105">
        <f t="shared" si="28"/>
        <v>0</v>
      </c>
      <c r="H304" s="278" t="e">
        <f t="shared" si="29"/>
        <v>#DIV/0!</v>
      </c>
    </row>
    <row r="305" spans="1:8" ht="24.75" customHeight="1">
      <c r="A305" s="269"/>
      <c r="B305" s="167" t="s">
        <v>180</v>
      </c>
      <c r="C305" s="306"/>
      <c r="D305" s="64"/>
      <c r="E305" s="64"/>
      <c r="F305" s="64">
        <f>12+19.1</f>
        <v>31.1</v>
      </c>
      <c r="G305" s="105">
        <f t="shared" si="28"/>
        <v>31.1</v>
      </c>
      <c r="H305" s="278" t="e">
        <f t="shared" si="29"/>
        <v>#DIV/0!</v>
      </c>
    </row>
    <row r="306" spans="1:8" ht="24.75" customHeight="1">
      <c r="A306" s="269"/>
      <c r="B306" s="167" t="s">
        <v>248</v>
      </c>
      <c r="C306" s="306"/>
      <c r="D306" s="64">
        <v>8.3000000000000007</v>
      </c>
      <c r="E306" s="64"/>
      <c r="F306" s="64">
        <f>1.2+0.4</f>
        <v>1.6</v>
      </c>
      <c r="G306" s="105">
        <f t="shared" si="28"/>
        <v>1.6</v>
      </c>
      <c r="H306" s="278" t="e">
        <f t="shared" si="29"/>
        <v>#DIV/0!</v>
      </c>
    </row>
    <row r="307" spans="1:8" ht="26.25" customHeight="1">
      <c r="A307" s="269"/>
      <c r="B307" s="65" t="s">
        <v>228</v>
      </c>
      <c r="C307" s="306"/>
      <c r="D307" s="64"/>
      <c r="E307" s="64"/>
      <c r="F307" s="64">
        <v>6.9</v>
      </c>
      <c r="G307" s="105">
        <f t="shared" si="28"/>
        <v>6.9</v>
      </c>
      <c r="H307" s="278" t="e">
        <f t="shared" si="29"/>
        <v>#DIV/0!</v>
      </c>
    </row>
    <row r="308" spans="1:8" ht="28.5" customHeight="1">
      <c r="A308" s="269"/>
      <c r="B308" s="65" t="s">
        <v>168</v>
      </c>
      <c r="C308" s="306"/>
      <c r="D308" s="64"/>
      <c r="E308" s="64"/>
      <c r="F308" s="64">
        <v>4.3</v>
      </c>
      <c r="G308" s="105">
        <f t="shared" si="28"/>
        <v>4.3</v>
      </c>
      <c r="H308" s="278" t="e">
        <f t="shared" si="29"/>
        <v>#DIV/0!</v>
      </c>
    </row>
    <row r="309" spans="1:8" ht="26.25" customHeight="1">
      <c r="A309" s="269"/>
      <c r="B309" s="65" t="s">
        <v>172</v>
      </c>
      <c r="C309" s="306"/>
      <c r="D309" s="64">
        <v>0.2</v>
      </c>
      <c r="E309" s="64"/>
      <c r="F309" s="64"/>
      <c r="G309" s="105">
        <f t="shared" si="28"/>
        <v>0</v>
      </c>
      <c r="H309" s="278" t="e">
        <f t="shared" si="29"/>
        <v>#DIV/0!</v>
      </c>
    </row>
    <row r="310" spans="1:8" ht="29.25" customHeight="1">
      <c r="A310" s="269"/>
      <c r="B310" s="65" t="s">
        <v>190</v>
      </c>
      <c r="C310" s="306"/>
      <c r="D310" s="64">
        <v>1</v>
      </c>
      <c r="E310" s="64"/>
      <c r="F310" s="64"/>
      <c r="G310" s="105">
        <f t="shared" si="28"/>
        <v>0</v>
      </c>
      <c r="H310" s="278" t="e">
        <f t="shared" si="29"/>
        <v>#DIV/0!</v>
      </c>
    </row>
    <row r="311" spans="1:8" ht="27.75" customHeight="1">
      <c r="A311" s="269"/>
      <c r="B311" s="65" t="s">
        <v>249</v>
      </c>
      <c r="C311" s="306"/>
      <c r="D311" s="64">
        <v>0.7</v>
      </c>
      <c r="E311" s="64"/>
      <c r="F311" s="64"/>
      <c r="G311" s="105">
        <f t="shared" si="28"/>
        <v>0</v>
      </c>
      <c r="H311" s="278" t="e">
        <f t="shared" si="29"/>
        <v>#DIV/0!</v>
      </c>
    </row>
    <row r="312" spans="1:8" ht="24.75" customHeight="1">
      <c r="A312" s="269"/>
      <c r="B312" s="65" t="s">
        <v>213</v>
      </c>
      <c r="C312" s="306"/>
      <c r="D312" s="64"/>
      <c r="E312" s="64"/>
      <c r="F312" s="64">
        <v>4.8</v>
      </c>
      <c r="G312" s="105">
        <f t="shared" ref="G312:G361" si="31">F312-E312</f>
        <v>4.8</v>
      </c>
      <c r="H312" s="278" t="e">
        <f t="shared" ref="H312:H361" si="32">(F312/E312)*100</f>
        <v>#DIV/0!</v>
      </c>
    </row>
    <row r="313" spans="1:8" ht="24.75" customHeight="1">
      <c r="A313" s="269"/>
      <c r="B313" s="65" t="s">
        <v>216</v>
      </c>
      <c r="C313" s="306"/>
      <c r="D313" s="64">
        <v>8.1</v>
      </c>
      <c r="E313" s="64"/>
      <c r="F313" s="64"/>
      <c r="G313" s="105">
        <f t="shared" si="31"/>
        <v>0</v>
      </c>
      <c r="H313" s="278" t="e">
        <f t="shared" si="32"/>
        <v>#DIV/0!</v>
      </c>
    </row>
    <row r="314" spans="1:8" ht="24.75" customHeight="1">
      <c r="A314" s="269"/>
      <c r="B314" s="65" t="s">
        <v>169</v>
      </c>
      <c r="C314" s="306"/>
      <c r="D314" s="64">
        <v>13.9</v>
      </c>
      <c r="E314" s="64"/>
      <c r="F314" s="64"/>
      <c r="G314" s="105">
        <f t="shared" si="31"/>
        <v>0</v>
      </c>
      <c r="H314" s="278" t="e">
        <f t="shared" si="32"/>
        <v>#DIV/0!</v>
      </c>
    </row>
    <row r="315" spans="1:8" ht="24.75" customHeight="1">
      <c r="A315" s="269"/>
      <c r="B315" s="65" t="s">
        <v>598</v>
      </c>
      <c r="C315" s="306"/>
      <c r="D315" s="64"/>
      <c r="E315" s="64"/>
      <c r="F315" s="64">
        <v>9.5</v>
      </c>
      <c r="G315" s="105">
        <f t="shared" si="31"/>
        <v>9.5</v>
      </c>
      <c r="H315" s="278" t="e">
        <f t="shared" si="32"/>
        <v>#DIV/0!</v>
      </c>
    </row>
    <row r="316" spans="1:8" ht="24.75" customHeight="1">
      <c r="A316" s="269"/>
      <c r="B316" s="167" t="s">
        <v>683</v>
      </c>
      <c r="C316" s="306"/>
      <c r="D316" s="64"/>
      <c r="E316" s="64"/>
      <c r="F316" s="64">
        <v>5.4</v>
      </c>
      <c r="G316" s="105">
        <f t="shared" si="31"/>
        <v>5.4</v>
      </c>
      <c r="H316" s="278" t="e">
        <f t="shared" si="32"/>
        <v>#DIV/0!</v>
      </c>
    </row>
    <row r="317" spans="1:8" ht="24.75" customHeight="1">
      <c r="A317" s="269"/>
      <c r="B317" s="65" t="s">
        <v>597</v>
      </c>
      <c r="C317" s="306"/>
      <c r="D317" s="64"/>
      <c r="E317" s="64"/>
      <c r="F317" s="64">
        <v>4.5</v>
      </c>
      <c r="G317" s="105">
        <f t="shared" si="31"/>
        <v>4.5</v>
      </c>
      <c r="H317" s="278" t="e">
        <f t="shared" si="32"/>
        <v>#DIV/0!</v>
      </c>
    </row>
    <row r="318" spans="1:8" ht="24.75" customHeight="1">
      <c r="A318" s="144"/>
      <c r="B318" s="65" t="s">
        <v>163</v>
      </c>
      <c r="C318" s="58"/>
      <c r="D318" s="64"/>
      <c r="E318" s="64"/>
      <c r="F318" s="64">
        <v>1.6</v>
      </c>
      <c r="G318" s="105">
        <f t="shared" si="31"/>
        <v>1.6</v>
      </c>
      <c r="H318" s="278" t="e">
        <f t="shared" si="32"/>
        <v>#DIV/0!</v>
      </c>
    </row>
    <row r="319" spans="1:8" ht="25.5" customHeight="1">
      <c r="A319" s="269" t="s">
        <v>234</v>
      </c>
      <c r="B319" s="291" t="s">
        <v>91</v>
      </c>
      <c r="C319" s="60">
        <v>1020</v>
      </c>
      <c r="D319" s="61">
        <f>D320+D323</f>
        <v>83.2</v>
      </c>
      <c r="E319" s="61">
        <f>E320+E323</f>
        <v>0</v>
      </c>
      <c r="F319" s="61">
        <f>F320+F323</f>
        <v>190</v>
      </c>
      <c r="G319" s="104">
        <f t="shared" si="31"/>
        <v>190</v>
      </c>
      <c r="H319" s="292" t="e">
        <f t="shared" si="32"/>
        <v>#DIV/0!</v>
      </c>
    </row>
    <row r="320" spans="1:8" ht="24.75" customHeight="1">
      <c r="A320" s="310" t="s">
        <v>626</v>
      </c>
      <c r="B320" s="294" t="s">
        <v>105</v>
      </c>
      <c r="C320" s="173">
        <v>1021</v>
      </c>
      <c r="D320" s="80">
        <f>D321+D322</f>
        <v>34.200000000000003</v>
      </c>
      <c r="E320" s="80">
        <f>E321+E322</f>
        <v>0</v>
      </c>
      <c r="F320" s="80">
        <f>SUM(F321:F322)</f>
        <v>22.099999999999998</v>
      </c>
      <c r="G320" s="273">
        <f t="shared" si="31"/>
        <v>22.099999999999998</v>
      </c>
      <c r="H320" s="280" t="e">
        <f t="shared" si="32"/>
        <v>#DIV/0!</v>
      </c>
    </row>
    <row r="321" spans="1:18" ht="26.25" customHeight="1">
      <c r="A321" s="269"/>
      <c r="B321" s="65" t="s">
        <v>221</v>
      </c>
      <c r="C321" s="60"/>
      <c r="D321" s="64">
        <v>30.8</v>
      </c>
      <c r="E321" s="64"/>
      <c r="F321" s="64">
        <f>14.1+7.6</f>
        <v>21.7</v>
      </c>
      <c r="G321" s="105">
        <f t="shared" si="31"/>
        <v>21.7</v>
      </c>
      <c r="H321" s="278" t="e">
        <f t="shared" si="32"/>
        <v>#DIV/0!</v>
      </c>
    </row>
    <row r="322" spans="1:18" ht="40.5" customHeight="1">
      <c r="A322" s="144"/>
      <c r="B322" s="65" t="s">
        <v>211</v>
      </c>
      <c r="C322" s="58"/>
      <c r="D322" s="64">
        <v>3.4</v>
      </c>
      <c r="E322" s="64">
        <f>SUM(E323:E332)</f>
        <v>0</v>
      </c>
      <c r="F322" s="64">
        <v>0.4</v>
      </c>
      <c r="G322" s="105">
        <f t="shared" si="31"/>
        <v>0.4</v>
      </c>
      <c r="H322" s="278" t="e">
        <f t="shared" si="32"/>
        <v>#DIV/0!</v>
      </c>
      <c r="R322" s="66"/>
    </row>
    <row r="323" spans="1:18" ht="24.75" customHeight="1">
      <c r="A323" s="310" t="s">
        <v>627</v>
      </c>
      <c r="B323" s="299" t="s">
        <v>176</v>
      </c>
      <c r="C323" s="272">
        <v>1025</v>
      </c>
      <c r="D323" s="80">
        <f>SUM(D324:D333)</f>
        <v>49</v>
      </c>
      <c r="E323" s="80">
        <f>SUM(E324:E333)</f>
        <v>0</v>
      </c>
      <c r="F323" s="80">
        <f>SUM(F324:F333)</f>
        <v>167.9</v>
      </c>
      <c r="G323" s="273">
        <f t="shared" si="31"/>
        <v>167.9</v>
      </c>
      <c r="H323" s="280" t="e">
        <f t="shared" si="32"/>
        <v>#DIV/0!</v>
      </c>
    </row>
    <row r="324" spans="1:18" ht="24.75" customHeight="1">
      <c r="A324" s="269"/>
      <c r="B324" s="84" t="s">
        <v>152</v>
      </c>
      <c r="C324" s="306"/>
      <c r="D324" s="64">
        <v>1.2</v>
      </c>
      <c r="E324" s="64"/>
      <c r="F324" s="64">
        <v>1.3</v>
      </c>
      <c r="G324" s="105">
        <f t="shared" si="31"/>
        <v>1.3</v>
      </c>
      <c r="H324" s="278" t="e">
        <f t="shared" si="32"/>
        <v>#DIV/0!</v>
      </c>
    </row>
    <row r="325" spans="1:18" ht="41.25" customHeight="1">
      <c r="A325" s="269"/>
      <c r="B325" s="167" t="s">
        <v>222</v>
      </c>
      <c r="C325" s="276"/>
      <c r="D325" s="64">
        <v>13.2</v>
      </c>
      <c r="E325" s="64"/>
      <c r="F325" s="64">
        <f>13.9+1.5+7.3</f>
        <v>22.7</v>
      </c>
      <c r="G325" s="105">
        <f t="shared" si="31"/>
        <v>22.7</v>
      </c>
      <c r="H325" s="278" t="e">
        <f t="shared" si="32"/>
        <v>#DIV/0!</v>
      </c>
      <c r="O325" s="293"/>
    </row>
    <row r="326" spans="1:18" ht="24.75" customHeight="1">
      <c r="A326" s="269"/>
      <c r="B326" s="167" t="s">
        <v>165</v>
      </c>
      <c r="C326" s="276"/>
      <c r="D326" s="64">
        <v>20.2</v>
      </c>
      <c r="E326" s="64"/>
      <c r="F326" s="64"/>
      <c r="G326" s="105">
        <f t="shared" si="31"/>
        <v>0</v>
      </c>
      <c r="H326" s="278" t="e">
        <f t="shared" si="32"/>
        <v>#DIV/0!</v>
      </c>
    </row>
    <row r="327" spans="1:18" ht="24" customHeight="1">
      <c r="A327" s="269"/>
      <c r="B327" s="167" t="s">
        <v>164</v>
      </c>
      <c r="C327" s="276"/>
      <c r="D327" s="64">
        <v>8.1999999999999993</v>
      </c>
      <c r="E327" s="64"/>
      <c r="F327" s="64"/>
      <c r="G327" s="105">
        <f t="shared" si="31"/>
        <v>0</v>
      </c>
      <c r="H327" s="278" t="e">
        <f t="shared" si="32"/>
        <v>#DIV/0!</v>
      </c>
    </row>
    <row r="328" spans="1:18" ht="24" customHeight="1">
      <c r="A328" s="269"/>
      <c r="B328" s="167" t="s">
        <v>170</v>
      </c>
      <c r="C328" s="276"/>
      <c r="D328" s="64"/>
      <c r="E328" s="64"/>
      <c r="F328" s="64">
        <v>5.0999999999999996</v>
      </c>
      <c r="G328" s="105">
        <f t="shared" si="31"/>
        <v>5.0999999999999996</v>
      </c>
      <c r="H328" s="278" t="e">
        <f t="shared" si="32"/>
        <v>#DIV/0!</v>
      </c>
      <c r="M328" s="66"/>
    </row>
    <row r="329" spans="1:18" ht="24" customHeight="1">
      <c r="A329" s="269"/>
      <c r="B329" s="167" t="s">
        <v>200</v>
      </c>
      <c r="C329" s="276"/>
      <c r="D329" s="64">
        <v>1.2</v>
      </c>
      <c r="E329" s="64"/>
      <c r="F329" s="64">
        <f>0.8+0.2</f>
        <v>1</v>
      </c>
      <c r="G329" s="105">
        <f t="shared" si="31"/>
        <v>1</v>
      </c>
      <c r="H329" s="278" t="e">
        <f t="shared" si="32"/>
        <v>#DIV/0!</v>
      </c>
    </row>
    <row r="330" spans="1:18" ht="24" customHeight="1">
      <c r="A330" s="269"/>
      <c r="B330" s="167" t="s">
        <v>229</v>
      </c>
      <c r="C330" s="276"/>
      <c r="D330" s="64"/>
      <c r="E330" s="64"/>
      <c r="F330" s="64">
        <v>5.0999999999999996</v>
      </c>
      <c r="G330" s="105">
        <f t="shared" si="31"/>
        <v>5.0999999999999996</v>
      </c>
      <c r="H330" s="278" t="e">
        <f t="shared" si="32"/>
        <v>#DIV/0!</v>
      </c>
    </row>
    <row r="331" spans="1:18" ht="25.5" customHeight="1">
      <c r="A331" s="269"/>
      <c r="B331" s="167" t="s">
        <v>435</v>
      </c>
      <c r="C331" s="276"/>
      <c r="D331" s="64">
        <v>5</v>
      </c>
      <c r="E331" s="64"/>
      <c r="F331" s="64">
        <f>1.5+3</f>
        <v>4.5</v>
      </c>
      <c r="G331" s="105">
        <f t="shared" si="31"/>
        <v>4.5</v>
      </c>
      <c r="H331" s="278" t="e">
        <f t="shared" si="32"/>
        <v>#DIV/0!</v>
      </c>
    </row>
    <row r="332" spans="1:18" ht="28.5" customHeight="1">
      <c r="A332" s="269"/>
      <c r="B332" s="167" t="s">
        <v>243</v>
      </c>
      <c r="C332" s="276"/>
      <c r="D332" s="64"/>
      <c r="E332" s="64"/>
      <c r="F332" s="64">
        <f>13.7+7.6</f>
        <v>21.299999999999997</v>
      </c>
      <c r="G332" s="105">
        <f t="shared" si="31"/>
        <v>21.299999999999997</v>
      </c>
      <c r="H332" s="278" t="e">
        <f t="shared" si="32"/>
        <v>#DIV/0!</v>
      </c>
    </row>
    <row r="333" spans="1:18" ht="22.5" customHeight="1">
      <c r="A333" s="269"/>
      <c r="B333" s="167" t="s">
        <v>216</v>
      </c>
      <c r="C333" s="276"/>
      <c r="D333" s="64"/>
      <c r="E333" s="64"/>
      <c r="F333" s="64">
        <v>106.9</v>
      </c>
      <c r="G333" s="105">
        <f t="shared" si="31"/>
        <v>106.9</v>
      </c>
      <c r="H333" s="278" t="e">
        <f t="shared" si="32"/>
        <v>#DIV/0!</v>
      </c>
    </row>
    <row r="334" spans="1:18" s="76" customFormat="1" ht="22.5" customHeight="1">
      <c r="A334" s="269" t="s">
        <v>235</v>
      </c>
      <c r="B334" s="298" t="s">
        <v>511</v>
      </c>
      <c r="C334" s="306"/>
      <c r="D334" s="61">
        <f>D336</f>
        <v>79.2</v>
      </c>
      <c r="E334" s="61">
        <f>E336</f>
        <v>0</v>
      </c>
      <c r="F334" s="61">
        <f>F336</f>
        <v>11.6</v>
      </c>
      <c r="G334" s="105">
        <f t="shared" si="31"/>
        <v>11.6</v>
      </c>
      <c r="H334" s="278" t="e">
        <f t="shared" si="32"/>
        <v>#DIV/0!</v>
      </c>
      <c r="J334" s="257"/>
      <c r="O334" s="325"/>
      <c r="P334" s="325"/>
      <c r="Q334" s="325"/>
    </row>
    <row r="335" spans="1:18" ht="26.25" customHeight="1">
      <c r="A335" s="144"/>
      <c r="B335" s="297" t="s">
        <v>85</v>
      </c>
      <c r="C335" s="58"/>
      <c r="D335" s="64"/>
      <c r="E335" s="64"/>
      <c r="F335" s="64"/>
      <c r="G335" s="105"/>
      <c r="H335" s="278"/>
    </row>
    <row r="336" spans="1:18" ht="26.25" customHeight="1">
      <c r="A336" s="269" t="s">
        <v>698</v>
      </c>
      <c r="B336" s="291" t="s">
        <v>89</v>
      </c>
      <c r="C336" s="60">
        <v>1010</v>
      </c>
      <c r="D336" s="61">
        <f t="shared" ref="D336:F337" si="33">D337</f>
        <v>79.2</v>
      </c>
      <c r="E336" s="61">
        <f t="shared" si="33"/>
        <v>0</v>
      </c>
      <c r="F336" s="61">
        <f t="shared" si="33"/>
        <v>11.6</v>
      </c>
      <c r="G336" s="104">
        <f t="shared" si="31"/>
        <v>11.6</v>
      </c>
      <c r="H336" s="292" t="e">
        <f t="shared" si="32"/>
        <v>#DIV/0!</v>
      </c>
    </row>
    <row r="337" spans="1:8" ht="27.75" customHeight="1">
      <c r="A337" s="310" t="s">
        <v>699</v>
      </c>
      <c r="B337" s="294" t="s">
        <v>105</v>
      </c>
      <c r="C337" s="272">
        <v>1011</v>
      </c>
      <c r="D337" s="80">
        <f t="shared" si="33"/>
        <v>79.2</v>
      </c>
      <c r="E337" s="80">
        <f t="shared" si="33"/>
        <v>0</v>
      </c>
      <c r="F337" s="80">
        <f t="shared" si="33"/>
        <v>11.6</v>
      </c>
      <c r="G337" s="273">
        <f t="shared" si="31"/>
        <v>11.6</v>
      </c>
      <c r="H337" s="280" t="e">
        <f t="shared" si="32"/>
        <v>#DIV/0!</v>
      </c>
    </row>
    <row r="338" spans="1:8" ht="42.75" customHeight="1">
      <c r="A338" s="144"/>
      <c r="B338" s="65" t="s">
        <v>211</v>
      </c>
      <c r="C338" s="306"/>
      <c r="D338" s="64">
        <v>79.2</v>
      </c>
      <c r="E338" s="64"/>
      <c r="F338" s="61">
        <v>11.6</v>
      </c>
      <c r="G338" s="105">
        <f t="shared" si="31"/>
        <v>11.6</v>
      </c>
      <c r="H338" s="278" t="e">
        <f t="shared" si="32"/>
        <v>#DIV/0!</v>
      </c>
    </row>
    <row r="339" spans="1:8" ht="22.5" customHeight="1">
      <c r="A339" s="269" t="s">
        <v>250</v>
      </c>
      <c r="B339" s="59" t="s">
        <v>251</v>
      </c>
      <c r="C339" s="58"/>
      <c r="D339" s="61">
        <f>D341</f>
        <v>8.1999999999999993</v>
      </c>
      <c r="E339" s="64"/>
      <c r="F339" s="64"/>
      <c r="G339" s="105">
        <f t="shared" si="31"/>
        <v>0</v>
      </c>
      <c r="H339" s="278" t="e">
        <f t="shared" si="32"/>
        <v>#DIV/0!</v>
      </c>
    </row>
    <row r="340" spans="1:8" ht="22.5" customHeight="1">
      <c r="A340" s="269"/>
      <c r="B340" s="331" t="s">
        <v>85</v>
      </c>
      <c r="C340" s="58"/>
      <c r="D340" s="64"/>
      <c r="E340" s="64"/>
      <c r="F340" s="64"/>
      <c r="G340" s="105"/>
      <c r="H340" s="278"/>
    </row>
    <row r="341" spans="1:8" ht="22.5" customHeight="1">
      <c r="A341" s="269" t="s">
        <v>628</v>
      </c>
      <c r="B341" s="291" t="s">
        <v>92</v>
      </c>
      <c r="C341" s="60">
        <v>1030</v>
      </c>
      <c r="D341" s="61">
        <f>D342</f>
        <v>8.1999999999999993</v>
      </c>
      <c r="E341" s="61"/>
      <c r="F341" s="61"/>
      <c r="G341" s="104">
        <f t="shared" si="31"/>
        <v>0</v>
      </c>
      <c r="H341" s="292" t="e">
        <f t="shared" si="32"/>
        <v>#DIV/0!</v>
      </c>
    </row>
    <row r="342" spans="1:8" ht="24.75" customHeight="1">
      <c r="A342" s="310" t="s">
        <v>629</v>
      </c>
      <c r="B342" s="294" t="s">
        <v>92</v>
      </c>
      <c r="C342" s="272">
        <v>1035</v>
      </c>
      <c r="D342" s="80">
        <f>D343</f>
        <v>8.1999999999999993</v>
      </c>
      <c r="E342" s="80"/>
      <c r="F342" s="80"/>
      <c r="G342" s="273">
        <f t="shared" si="31"/>
        <v>0</v>
      </c>
      <c r="H342" s="280" t="e">
        <f t="shared" si="32"/>
        <v>#DIV/0!</v>
      </c>
    </row>
    <row r="343" spans="1:8" ht="27" customHeight="1">
      <c r="A343" s="144"/>
      <c r="B343" s="65" t="s">
        <v>252</v>
      </c>
      <c r="C343" s="324"/>
      <c r="D343" s="64">
        <v>8.1999999999999993</v>
      </c>
      <c r="E343" s="61">
        <f>E355+E358</f>
        <v>0</v>
      </c>
      <c r="F343" s="58"/>
      <c r="G343" s="105">
        <f t="shared" si="31"/>
        <v>0</v>
      </c>
      <c r="H343" s="278" t="e">
        <f t="shared" si="32"/>
        <v>#DIV/0!</v>
      </c>
    </row>
    <row r="344" spans="1:8" ht="27" customHeight="1">
      <c r="A344" s="262" t="s">
        <v>630</v>
      </c>
      <c r="B344" s="59" t="s">
        <v>697</v>
      </c>
      <c r="C344" s="324"/>
      <c r="D344" s="61">
        <f>D346</f>
        <v>199.2</v>
      </c>
      <c r="E344" s="61"/>
      <c r="F344" s="262"/>
      <c r="G344" s="104"/>
      <c r="H344" s="292"/>
    </row>
    <row r="345" spans="1:8" ht="27" customHeight="1">
      <c r="A345" s="144"/>
      <c r="B345" s="331" t="s">
        <v>85</v>
      </c>
      <c r="C345" s="324"/>
      <c r="D345" s="64"/>
      <c r="E345" s="61"/>
      <c r="F345" s="58"/>
      <c r="G345" s="105"/>
      <c r="H345" s="278"/>
    </row>
    <row r="346" spans="1:8" ht="27" customHeight="1">
      <c r="A346" s="269" t="s">
        <v>631</v>
      </c>
      <c r="B346" s="59" t="s">
        <v>89</v>
      </c>
      <c r="C346" s="306">
        <v>1010</v>
      </c>
      <c r="D346" s="61">
        <f>D347</f>
        <v>199.2</v>
      </c>
      <c r="E346" s="61"/>
      <c r="F346" s="262"/>
      <c r="G346" s="104"/>
      <c r="H346" s="292"/>
    </row>
    <row r="347" spans="1:8" ht="27" customHeight="1">
      <c r="A347" s="310" t="s">
        <v>700</v>
      </c>
      <c r="B347" s="170" t="s">
        <v>105</v>
      </c>
      <c r="C347" s="272">
        <v>1011</v>
      </c>
      <c r="D347" s="80">
        <f>D348</f>
        <v>199.2</v>
      </c>
      <c r="E347" s="80"/>
      <c r="F347" s="332"/>
      <c r="G347" s="273"/>
      <c r="H347" s="280"/>
    </row>
    <row r="348" spans="1:8" ht="27" customHeight="1">
      <c r="A348" s="144"/>
      <c r="B348" s="65" t="s">
        <v>227</v>
      </c>
      <c r="C348" s="324"/>
      <c r="D348" s="64">
        <v>199.2</v>
      </c>
      <c r="E348" s="61"/>
      <c r="F348" s="58"/>
      <c r="G348" s="105"/>
      <c r="H348" s="278"/>
    </row>
    <row r="349" spans="1:8" ht="55.5" customHeight="1">
      <c r="A349" s="262" t="s">
        <v>701</v>
      </c>
      <c r="B349" s="59" t="s">
        <v>702</v>
      </c>
      <c r="C349" s="324"/>
      <c r="D349" s="64"/>
      <c r="E349" s="61"/>
      <c r="F349" s="263">
        <f>F351</f>
        <v>143</v>
      </c>
      <c r="G349" s="104">
        <f t="shared" ref="G349:G353" si="34">F349-E349</f>
        <v>143</v>
      </c>
      <c r="H349" s="292" t="e">
        <f t="shared" ref="H349:H353" si="35">(F349/E349)*100</f>
        <v>#DIV/0!</v>
      </c>
    </row>
    <row r="350" spans="1:8" ht="27" customHeight="1">
      <c r="A350" s="144"/>
      <c r="B350" s="331" t="s">
        <v>85</v>
      </c>
      <c r="C350" s="324"/>
      <c r="D350" s="64"/>
      <c r="E350" s="61"/>
      <c r="F350" s="333"/>
      <c r="G350" s="105">
        <f t="shared" si="34"/>
        <v>0</v>
      </c>
      <c r="H350" s="278" t="e">
        <f t="shared" si="35"/>
        <v>#DIV/0!</v>
      </c>
    </row>
    <row r="351" spans="1:8" ht="27" customHeight="1">
      <c r="A351" s="269" t="s">
        <v>703</v>
      </c>
      <c r="B351" s="59" t="s">
        <v>89</v>
      </c>
      <c r="C351" s="306">
        <v>1010</v>
      </c>
      <c r="D351" s="61">
        <f>D353</f>
        <v>0</v>
      </c>
      <c r="E351" s="61"/>
      <c r="F351" s="263">
        <f>F352+F353</f>
        <v>143</v>
      </c>
      <c r="G351" s="104">
        <f t="shared" si="34"/>
        <v>143</v>
      </c>
      <c r="H351" s="292" t="e">
        <f t="shared" si="35"/>
        <v>#DIV/0!</v>
      </c>
    </row>
    <row r="352" spans="1:8" ht="27" customHeight="1">
      <c r="A352" s="310" t="s">
        <v>704</v>
      </c>
      <c r="B352" s="170" t="s">
        <v>2</v>
      </c>
      <c r="C352" s="272">
        <v>1012</v>
      </c>
      <c r="D352" s="80"/>
      <c r="E352" s="80"/>
      <c r="F352" s="334">
        <v>111.5</v>
      </c>
      <c r="G352" s="273">
        <f t="shared" si="34"/>
        <v>111.5</v>
      </c>
      <c r="H352" s="280" t="e">
        <f t="shared" si="35"/>
        <v>#DIV/0!</v>
      </c>
    </row>
    <row r="353" spans="1:17" ht="27" customHeight="1">
      <c r="A353" s="310" t="s">
        <v>705</v>
      </c>
      <c r="B353" s="170" t="s">
        <v>3</v>
      </c>
      <c r="C353" s="272">
        <v>1013</v>
      </c>
      <c r="D353" s="80"/>
      <c r="E353" s="80"/>
      <c r="F353" s="334">
        <v>31.5</v>
      </c>
      <c r="G353" s="273">
        <f t="shared" si="34"/>
        <v>31.5</v>
      </c>
      <c r="H353" s="280" t="e">
        <f t="shared" si="35"/>
        <v>#DIV/0!</v>
      </c>
    </row>
    <row r="354" spans="1:17" s="76" customFormat="1" ht="24.75" customHeight="1">
      <c r="A354" s="308" t="s">
        <v>706</v>
      </c>
      <c r="B354" s="326" t="s">
        <v>231</v>
      </c>
      <c r="C354" s="306"/>
      <c r="D354" s="61">
        <f>D356+D359</f>
        <v>1875.8999999999999</v>
      </c>
      <c r="E354" s="61"/>
      <c r="F354" s="61">
        <f>F356+F359</f>
        <v>3502.1000000000004</v>
      </c>
      <c r="G354" s="104">
        <f t="shared" si="31"/>
        <v>3502.1000000000004</v>
      </c>
      <c r="H354" s="292" t="e">
        <f t="shared" si="32"/>
        <v>#DIV/0!</v>
      </c>
      <c r="J354" s="257"/>
      <c r="O354" s="259"/>
      <c r="P354" s="325"/>
      <c r="Q354" s="325"/>
    </row>
    <row r="355" spans="1:17" ht="24.75" customHeight="1">
      <c r="A355" s="144"/>
      <c r="B355" s="268" t="s">
        <v>85</v>
      </c>
      <c r="C355" s="58"/>
      <c r="D355" s="64"/>
      <c r="E355" s="64"/>
      <c r="F355" s="61"/>
      <c r="G355" s="105"/>
      <c r="H355" s="278"/>
      <c r="I355" s="281"/>
    </row>
    <row r="356" spans="1:17" ht="24.75" customHeight="1">
      <c r="A356" s="269" t="s">
        <v>707</v>
      </c>
      <c r="B356" s="59" t="s">
        <v>89</v>
      </c>
      <c r="C356" s="306">
        <v>1010</v>
      </c>
      <c r="D356" s="61">
        <f>D357</f>
        <v>1630.8</v>
      </c>
      <c r="E356" s="61">
        <f>E357</f>
        <v>0</v>
      </c>
      <c r="F356" s="61">
        <f>F357</f>
        <v>2204.4</v>
      </c>
      <c r="G356" s="104">
        <f t="shared" si="31"/>
        <v>2204.4</v>
      </c>
      <c r="H356" s="292" t="e">
        <f t="shared" si="32"/>
        <v>#DIV/0!</v>
      </c>
    </row>
    <row r="357" spans="1:17" ht="24.75" customHeight="1">
      <c r="A357" s="310" t="s">
        <v>708</v>
      </c>
      <c r="B357" s="170" t="s">
        <v>4</v>
      </c>
      <c r="C357" s="272">
        <v>1014</v>
      </c>
      <c r="D357" s="80">
        <f>D358</f>
        <v>1630.8</v>
      </c>
      <c r="E357" s="80"/>
      <c r="F357" s="80">
        <f>F358</f>
        <v>2204.4</v>
      </c>
      <c r="G357" s="273">
        <f t="shared" si="31"/>
        <v>2204.4</v>
      </c>
      <c r="H357" s="280" t="e">
        <f t="shared" si="32"/>
        <v>#DIV/0!</v>
      </c>
    </row>
    <row r="358" spans="1:17" ht="24.75" customHeight="1">
      <c r="A358" s="144"/>
      <c r="B358" s="65" t="s">
        <v>233</v>
      </c>
      <c r="C358" s="58"/>
      <c r="D358" s="335">
        <v>1630.8</v>
      </c>
      <c r="E358" s="64"/>
      <c r="F358" s="64">
        <f>2192.6+11.8</f>
        <v>2204.4</v>
      </c>
      <c r="G358" s="105">
        <f t="shared" si="31"/>
        <v>2204.4</v>
      </c>
      <c r="H358" s="278" t="e">
        <f t="shared" si="32"/>
        <v>#DIV/0!</v>
      </c>
    </row>
    <row r="359" spans="1:17" ht="24.75" customHeight="1">
      <c r="A359" s="269" t="s">
        <v>709</v>
      </c>
      <c r="B359" s="59" t="s">
        <v>91</v>
      </c>
      <c r="C359" s="306">
        <v>1020</v>
      </c>
      <c r="D359" s="336">
        <f>D360</f>
        <v>245.1</v>
      </c>
      <c r="E359" s="61"/>
      <c r="F359" s="61">
        <f>F360</f>
        <v>1297.7</v>
      </c>
      <c r="G359" s="104">
        <f t="shared" si="31"/>
        <v>1297.7</v>
      </c>
      <c r="H359" s="292" t="e">
        <f t="shared" si="32"/>
        <v>#DIV/0!</v>
      </c>
    </row>
    <row r="360" spans="1:17" ht="27.75" customHeight="1">
      <c r="A360" s="310" t="s">
        <v>710</v>
      </c>
      <c r="B360" s="170" t="s">
        <v>4</v>
      </c>
      <c r="C360" s="272">
        <v>1024</v>
      </c>
      <c r="D360" s="337">
        <f>D361</f>
        <v>245.1</v>
      </c>
      <c r="E360" s="337"/>
      <c r="F360" s="337">
        <f>F361</f>
        <v>1297.7</v>
      </c>
      <c r="G360" s="338">
        <f t="shared" si="31"/>
        <v>1297.7</v>
      </c>
      <c r="H360" s="339" t="e">
        <f t="shared" si="32"/>
        <v>#DIV/0!</v>
      </c>
    </row>
    <row r="361" spans="1:17" ht="27.75" customHeight="1">
      <c r="A361" s="269"/>
      <c r="B361" s="65" t="s">
        <v>233</v>
      </c>
      <c r="C361" s="306"/>
      <c r="D361" s="340">
        <v>245.1</v>
      </c>
      <c r="E361" s="341"/>
      <c r="F361" s="341">
        <v>1297.7</v>
      </c>
      <c r="G361" s="144">
        <f t="shared" si="31"/>
        <v>1297.7</v>
      </c>
      <c r="H361" s="342" t="e">
        <f t="shared" si="32"/>
        <v>#DIV/0!</v>
      </c>
    </row>
    <row r="362" spans="1:17" ht="21.75" customHeight="1">
      <c r="B362" s="90"/>
      <c r="C362" s="343"/>
      <c r="D362" s="49"/>
      <c r="E362" s="49"/>
      <c r="F362" s="49"/>
    </row>
    <row r="363" spans="1:17" ht="30.75" customHeight="1">
      <c r="B363" s="175" t="s">
        <v>712</v>
      </c>
      <c r="C363" s="344"/>
      <c r="D363" s="344"/>
      <c r="E363" s="174"/>
      <c r="F363" s="209" t="s">
        <v>201</v>
      </c>
      <c r="G363" s="209"/>
      <c r="H363" s="209"/>
    </row>
    <row r="364" spans="1:17" ht="29.25" customHeight="1">
      <c r="B364" s="89" t="s">
        <v>59</v>
      </c>
      <c r="D364" s="85"/>
      <c r="E364" s="85"/>
      <c r="F364" s="211" t="s">
        <v>711</v>
      </c>
      <c r="G364" s="211"/>
      <c r="H364" s="211"/>
    </row>
    <row r="365" spans="1:17" ht="35.25" customHeight="1">
      <c r="B365" s="90"/>
      <c r="D365" s="91"/>
      <c r="E365" s="92"/>
      <c r="F365" s="92"/>
    </row>
    <row r="366" spans="1:17" ht="35.25" customHeight="1">
      <c r="B366" s="90"/>
      <c r="D366" s="91"/>
      <c r="E366" s="92"/>
      <c r="F366" s="92"/>
    </row>
    <row r="367" spans="1:17" s="76" customFormat="1" ht="39" customHeight="1">
      <c r="A367" s="49"/>
      <c r="B367" s="90"/>
      <c r="C367" s="89"/>
      <c r="D367" s="91"/>
      <c r="E367" s="92"/>
      <c r="F367" s="92"/>
      <c r="G367" s="49"/>
      <c r="H367" s="49"/>
      <c r="J367" s="257"/>
      <c r="O367" s="325"/>
      <c r="P367" s="325"/>
      <c r="Q367" s="325"/>
    </row>
    <row r="368" spans="1:17" s="76" customFormat="1" ht="32.25" customHeight="1">
      <c r="A368" s="49"/>
      <c r="B368" s="90"/>
      <c r="C368" s="89"/>
      <c r="D368" s="91"/>
      <c r="E368" s="92"/>
      <c r="F368" s="92"/>
      <c r="G368" s="49"/>
      <c r="H368" s="49"/>
      <c r="J368" s="257"/>
      <c r="O368" s="325"/>
      <c r="P368" s="325"/>
      <c r="Q368" s="325"/>
    </row>
    <row r="369" spans="1:17" s="76" customFormat="1" ht="31.5" customHeight="1">
      <c r="A369" s="49"/>
      <c r="B369" s="90"/>
      <c r="C369" s="89"/>
      <c r="D369" s="91"/>
      <c r="E369" s="92"/>
      <c r="F369" s="92"/>
      <c r="G369" s="49"/>
      <c r="H369" s="49"/>
      <c r="J369" s="257"/>
      <c r="O369" s="325"/>
      <c r="P369" s="325"/>
      <c r="Q369" s="325"/>
    </row>
    <row r="370" spans="1:17" s="76" customFormat="1" ht="31.5" customHeight="1">
      <c r="A370" s="49"/>
      <c r="B370" s="90"/>
      <c r="C370" s="89"/>
      <c r="D370" s="91"/>
      <c r="E370" s="92"/>
      <c r="F370" s="92"/>
      <c r="G370" s="49"/>
      <c r="H370" s="49"/>
      <c r="J370" s="257"/>
      <c r="O370" s="325"/>
      <c r="P370" s="325"/>
      <c r="Q370" s="325"/>
    </row>
    <row r="371" spans="1:17" s="76" customFormat="1" ht="29.25" customHeight="1">
      <c r="A371" s="49"/>
      <c r="B371" s="90"/>
      <c r="C371" s="89"/>
      <c r="D371" s="91"/>
      <c r="E371" s="92"/>
      <c r="F371" s="92"/>
      <c r="G371" s="49"/>
      <c r="H371" s="49"/>
      <c r="J371" s="257"/>
      <c r="O371" s="325"/>
      <c r="P371" s="325"/>
      <c r="Q371" s="325"/>
    </row>
    <row r="372" spans="1:17" s="76" customFormat="1" ht="35.25" customHeight="1">
      <c r="A372" s="49"/>
      <c r="B372" s="90"/>
      <c r="C372" s="89"/>
      <c r="D372" s="91"/>
      <c r="E372" s="92"/>
      <c r="F372" s="92"/>
      <c r="G372" s="49"/>
      <c r="H372" s="49"/>
      <c r="J372" s="257"/>
      <c r="O372" s="325"/>
      <c r="P372" s="325"/>
      <c r="Q372" s="325"/>
    </row>
    <row r="373" spans="1:17" s="76" customFormat="1" ht="41.25" customHeight="1">
      <c r="A373" s="49"/>
      <c r="B373" s="90"/>
      <c r="C373" s="89"/>
      <c r="D373" s="91"/>
      <c r="E373" s="92"/>
      <c r="F373" s="92"/>
      <c r="G373" s="49"/>
      <c r="H373" s="49"/>
      <c r="J373" s="257"/>
      <c r="O373" s="325"/>
      <c r="P373" s="325"/>
      <c r="Q373" s="325"/>
    </row>
    <row r="374" spans="1:17" s="76" customFormat="1" ht="35.25" customHeight="1">
      <c r="A374" s="49"/>
      <c r="B374" s="90"/>
      <c r="C374" s="89"/>
      <c r="D374" s="91"/>
      <c r="E374" s="92"/>
      <c r="F374" s="92"/>
      <c r="G374" s="49"/>
      <c r="H374" s="49"/>
      <c r="J374" s="257"/>
      <c r="O374" s="325"/>
      <c r="P374" s="325"/>
      <c r="Q374" s="325"/>
    </row>
    <row r="375" spans="1:17" s="76" customFormat="1" ht="41.25" customHeight="1">
      <c r="A375" s="49"/>
      <c r="B375" s="90"/>
      <c r="C375" s="89"/>
      <c r="D375" s="91"/>
      <c r="E375" s="92"/>
      <c r="F375" s="92"/>
      <c r="G375" s="49"/>
      <c r="H375" s="49"/>
      <c r="J375" s="257"/>
      <c r="O375" s="325"/>
      <c r="P375" s="325"/>
      <c r="Q375" s="325"/>
    </row>
    <row r="376" spans="1:17" s="76" customFormat="1" ht="37.5" customHeight="1">
      <c r="A376" s="49"/>
      <c r="B376" s="90"/>
      <c r="C376" s="89"/>
      <c r="D376" s="91"/>
      <c r="E376" s="92"/>
      <c r="F376" s="92"/>
      <c r="G376" s="49"/>
      <c r="H376" s="49"/>
      <c r="J376" s="257"/>
      <c r="O376" s="325"/>
      <c r="P376" s="325"/>
      <c r="Q376" s="325"/>
    </row>
    <row r="377" spans="1:17" s="76" customFormat="1" ht="37.5" customHeight="1">
      <c r="A377" s="49"/>
      <c r="B377" s="90"/>
      <c r="C377" s="89"/>
      <c r="D377" s="91"/>
      <c r="E377" s="92"/>
      <c r="F377" s="92"/>
      <c r="G377" s="49"/>
      <c r="H377" s="49"/>
      <c r="J377" s="257"/>
      <c r="O377" s="325"/>
      <c r="P377" s="325"/>
      <c r="Q377" s="325"/>
    </row>
    <row r="378" spans="1:17" s="76" customFormat="1" ht="39" customHeight="1">
      <c r="A378" s="49"/>
      <c r="B378" s="90"/>
      <c r="C378" s="89"/>
      <c r="D378" s="91"/>
      <c r="E378" s="92"/>
      <c r="F378" s="92"/>
      <c r="G378" s="49"/>
      <c r="H378" s="49"/>
      <c r="J378" s="257"/>
      <c r="O378" s="325"/>
      <c r="P378" s="325"/>
      <c r="Q378" s="325"/>
    </row>
    <row r="379" spans="1:17" s="76" customFormat="1" ht="35.25" customHeight="1">
      <c r="A379" s="49"/>
      <c r="B379" s="90"/>
      <c r="C379" s="89"/>
      <c r="D379" s="91"/>
      <c r="E379" s="92"/>
      <c r="F379" s="92"/>
      <c r="G379" s="49"/>
      <c r="H379" s="49"/>
      <c r="J379" s="257"/>
      <c r="O379" s="325"/>
      <c r="P379" s="325"/>
      <c r="Q379" s="325"/>
    </row>
    <row r="380" spans="1:17" s="76" customFormat="1" ht="37.5" customHeight="1">
      <c r="A380" s="49"/>
      <c r="B380" s="90"/>
      <c r="C380" s="89"/>
      <c r="D380" s="91"/>
      <c r="E380" s="92"/>
      <c r="F380" s="92"/>
      <c r="G380" s="49"/>
      <c r="H380" s="49"/>
      <c r="J380" s="257"/>
      <c r="O380" s="325"/>
      <c r="P380" s="325"/>
      <c r="Q380" s="325"/>
    </row>
    <row r="381" spans="1:17" s="76" customFormat="1" ht="31.5" customHeight="1">
      <c r="A381" s="49"/>
      <c r="B381" s="90"/>
      <c r="C381" s="89"/>
      <c r="D381" s="91"/>
      <c r="E381" s="92"/>
      <c r="F381" s="92"/>
      <c r="G381" s="49"/>
      <c r="H381" s="49"/>
      <c r="J381" s="257"/>
      <c r="O381" s="325"/>
      <c r="P381" s="325"/>
      <c r="Q381" s="325"/>
    </row>
    <row r="382" spans="1:17" s="76" customFormat="1" ht="31.5" customHeight="1">
      <c r="A382" s="49"/>
      <c r="B382" s="90"/>
      <c r="C382" s="89"/>
      <c r="D382" s="91"/>
      <c r="E382" s="92"/>
      <c r="F382" s="92"/>
      <c r="G382" s="49"/>
      <c r="H382" s="49"/>
      <c r="J382" s="257"/>
      <c r="O382" s="325"/>
      <c r="P382" s="325"/>
      <c r="Q382" s="325"/>
    </row>
    <row r="383" spans="1:17">
      <c r="B383" s="90"/>
      <c r="D383" s="91"/>
      <c r="E383" s="92"/>
      <c r="F383" s="92"/>
    </row>
    <row r="384" spans="1:17" ht="24.75" customHeight="1">
      <c r="B384" s="90"/>
      <c r="D384" s="91"/>
      <c r="E384" s="92"/>
      <c r="F384" s="92"/>
    </row>
    <row r="385" spans="2:6">
      <c r="B385" s="90"/>
      <c r="D385" s="91"/>
      <c r="E385" s="92"/>
      <c r="F385" s="92"/>
    </row>
    <row r="386" spans="2:6">
      <c r="B386" s="90"/>
      <c r="D386" s="91"/>
      <c r="E386" s="92"/>
      <c r="F386" s="92"/>
    </row>
    <row r="387" spans="2:6">
      <c r="B387" s="90"/>
      <c r="D387" s="91"/>
      <c r="E387" s="92"/>
      <c r="F387" s="92"/>
    </row>
    <row r="388" spans="2:6">
      <c r="B388" s="90"/>
      <c r="D388" s="91"/>
      <c r="E388" s="92"/>
      <c r="F388" s="92"/>
    </row>
    <row r="389" spans="2:6">
      <c r="B389" s="90"/>
      <c r="D389" s="91"/>
      <c r="E389" s="92"/>
      <c r="F389" s="92"/>
    </row>
    <row r="390" spans="2:6">
      <c r="B390" s="90"/>
      <c r="D390" s="91"/>
      <c r="E390" s="92"/>
      <c r="F390" s="92"/>
    </row>
    <row r="391" spans="2:6">
      <c r="B391" s="90"/>
      <c r="D391" s="91"/>
      <c r="E391" s="92"/>
      <c r="F391" s="92"/>
    </row>
    <row r="392" spans="2:6">
      <c r="B392" s="90"/>
      <c r="D392" s="91"/>
      <c r="E392" s="92"/>
      <c r="F392" s="92"/>
    </row>
    <row r="393" spans="2:6">
      <c r="B393" s="90"/>
      <c r="D393" s="91"/>
      <c r="E393" s="92"/>
      <c r="F393" s="92"/>
    </row>
    <row r="394" spans="2:6">
      <c r="B394" s="90"/>
      <c r="D394" s="91"/>
      <c r="E394" s="92"/>
      <c r="F394" s="92"/>
    </row>
    <row r="395" spans="2:6">
      <c r="B395" s="90"/>
      <c r="D395" s="91"/>
      <c r="E395" s="92"/>
      <c r="F395" s="92"/>
    </row>
    <row r="396" spans="2:6">
      <c r="B396" s="90"/>
      <c r="D396" s="91"/>
      <c r="E396" s="92"/>
      <c r="F396" s="92"/>
    </row>
    <row r="397" spans="2:6">
      <c r="B397" s="90"/>
      <c r="D397" s="91"/>
      <c r="E397" s="92"/>
      <c r="F397" s="92"/>
    </row>
    <row r="398" spans="2:6">
      <c r="B398" s="90"/>
      <c r="D398" s="91"/>
      <c r="E398" s="92"/>
      <c r="F398" s="92"/>
    </row>
    <row r="399" spans="2:6">
      <c r="B399" s="90"/>
      <c r="D399" s="91"/>
      <c r="E399" s="92"/>
      <c r="F399" s="92"/>
    </row>
    <row r="400" spans="2:6">
      <c r="B400" s="90"/>
      <c r="D400" s="91"/>
      <c r="E400" s="92"/>
      <c r="F400" s="92"/>
    </row>
    <row r="401" spans="2:6">
      <c r="B401" s="90"/>
      <c r="D401" s="91"/>
      <c r="E401" s="92"/>
      <c r="F401" s="92"/>
    </row>
    <row r="402" spans="2:6">
      <c r="B402" s="90"/>
      <c r="D402" s="91"/>
      <c r="E402" s="92"/>
      <c r="F402" s="92"/>
    </row>
    <row r="403" spans="2:6">
      <c r="B403" s="90"/>
      <c r="D403" s="91"/>
      <c r="E403" s="92"/>
      <c r="F403" s="92"/>
    </row>
    <row r="404" spans="2:6">
      <c r="B404" s="90"/>
      <c r="D404" s="91"/>
      <c r="E404" s="92"/>
      <c r="F404" s="92"/>
    </row>
    <row r="405" spans="2:6">
      <c r="B405" s="90"/>
      <c r="D405" s="91"/>
      <c r="E405" s="92"/>
      <c r="F405" s="92"/>
    </row>
    <row r="406" spans="2:6">
      <c r="B406" s="90"/>
      <c r="D406" s="91"/>
      <c r="E406" s="92"/>
      <c r="F406" s="92"/>
    </row>
    <row r="407" spans="2:6">
      <c r="B407" s="90"/>
      <c r="D407" s="91"/>
      <c r="E407" s="92"/>
      <c r="F407" s="92"/>
    </row>
    <row r="408" spans="2:6">
      <c r="B408" s="90"/>
      <c r="D408" s="91"/>
      <c r="E408" s="92"/>
      <c r="F408" s="92"/>
    </row>
    <row r="409" spans="2:6">
      <c r="B409" s="90"/>
      <c r="D409" s="91"/>
      <c r="E409" s="92"/>
      <c r="F409" s="92"/>
    </row>
    <row r="410" spans="2:6">
      <c r="B410" s="90"/>
      <c r="D410" s="91"/>
      <c r="E410" s="92"/>
      <c r="F410" s="92"/>
    </row>
    <row r="411" spans="2:6">
      <c r="B411" s="90"/>
      <c r="D411" s="91"/>
      <c r="E411" s="92"/>
      <c r="F411" s="92"/>
    </row>
    <row r="412" spans="2:6">
      <c r="B412" s="90"/>
      <c r="D412" s="91"/>
      <c r="E412" s="92"/>
      <c r="F412" s="92"/>
    </row>
    <row r="413" spans="2:6">
      <c r="B413" s="90"/>
      <c r="D413" s="91"/>
      <c r="E413" s="92"/>
      <c r="F413" s="92"/>
    </row>
    <row r="414" spans="2:6">
      <c r="B414" s="90"/>
      <c r="D414" s="91"/>
      <c r="E414" s="92"/>
      <c r="F414" s="92"/>
    </row>
    <row r="415" spans="2:6">
      <c r="B415" s="90"/>
      <c r="D415" s="91"/>
      <c r="E415" s="92"/>
      <c r="F415" s="92"/>
    </row>
    <row r="416" spans="2:6">
      <c r="B416" s="90"/>
      <c r="D416" s="91"/>
      <c r="E416" s="92"/>
      <c r="F416" s="92"/>
    </row>
    <row r="417" spans="2:6">
      <c r="B417" s="90"/>
      <c r="D417" s="91"/>
      <c r="E417" s="92"/>
      <c r="F417" s="92"/>
    </row>
    <row r="418" spans="2:6">
      <c r="B418" s="90"/>
    </row>
    <row r="419" spans="2:6">
      <c r="B419" s="90"/>
    </row>
    <row r="420" spans="2:6">
      <c r="B420" s="93"/>
    </row>
    <row r="421" spans="2:6">
      <c r="B421" s="93"/>
    </row>
    <row r="422" spans="2:6">
      <c r="B422" s="93"/>
    </row>
    <row r="423" spans="2:6">
      <c r="B423" s="93"/>
    </row>
    <row r="424" spans="2:6">
      <c r="B424" s="93"/>
    </row>
    <row r="425" spans="2:6">
      <c r="B425" s="93"/>
    </row>
    <row r="426" spans="2:6">
      <c r="B426" s="93"/>
    </row>
    <row r="427" spans="2:6">
      <c r="B427" s="93"/>
    </row>
    <row r="428" spans="2:6">
      <c r="B428" s="93"/>
    </row>
    <row r="429" spans="2:6">
      <c r="B429" s="93"/>
    </row>
    <row r="430" spans="2:6">
      <c r="B430" s="93"/>
    </row>
    <row r="431" spans="2:6">
      <c r="B431" s="93"/>
    </row>
    <row r="432" spans="2:6">
      <c r="B432" s="93"/>
    </row>
    <row r="433" spans="2:2">
      <c r="B433" s="93"/>
    </row>
    <row r="434" spans="2:2">
      <c r="B434" s="93"/>
    </row>
    <row r="435" spans="2:2">
      <c r="B435" s="93"/>
    </row>
    <row r="436" spans="2:2">
      <c r="B436" s="93"/>
    </row>
    <row r="437" spans="2:2">
      <c r="B437" s="93"/>
    </row>
    <row r="438" spans="2:2">
      <c r="B438" s="93"/>
    </row>
    <row r="439" spans="2:2">
      <c r="B439" s="93"/>
    </row>
    <row r="440" spans="2:2">
      <c r="B440" s="93"/>
    </row>
    <row r="441" spans="2:2">
      <c r="B441" s="93"/>
    </row>
    <row r="442" spans="2:2">
      <c r="B442" s="93"/>
    </row>
    <row r="443" spans="2:2">
      <c r="B443" s="93"/>
    </row>
    <row r="444" spans="2:2">
      <c r="B444" s="93"/>
    </row>
    <row r="445" spans="2:2">
      <c r="B445" s="93"/>
    </row>
    <row r="446" spans="2:2">
      <c r="B446" s="93"/>
    </row>
    <row r="447" spans="2:2">
      <c r="B447" s="93"/>
    </row>
    <row r="448" spans="2:2">
      <c r="B448" s="93"/>
    </row>
    <row r="449" spans="2:2">
      <c r="B449" s="93"/>
    </row>
    <row r="450" spans="2:2">
      <c r="B450" s="93"/>
    </row>
    <row r="451" spans="2:2">
      <c r="B451" s="93"/>
    </row>
    <row r="452" spans="2:2">
      <c r="B452" s="93"/>
    </row>
    <row r="453" spans="2:2">
      <c r="B453" s="93"/>
    </row>
    <row r="454" spans="2:2">
      <c r="B454" s="93"/>
    </row>
    <row r="455" spans="2:2">
      <c r="B455" s="93"/>
    </row>
    <row r="456" spans="2:2">
      <c r="B456" s="93"/>
    </row>
    <row r="457" spans="2:2">
      <c r="B457" s="93"/>
    </row>
    <row r="458" spans="2:2">
      <c r="B458" s="93"/>
    </row>
    <row r="459" spans="2:2">
      <c r="B459" s="93"/>
    </row>
    <row r="460" spans="2:2">
      <c r="B460" s="93"/>
    </row>
    <row r="461" spans="2:2">
      <c r="B461" s="93"/>
    </row>
    <row r="462" spans="2:2">
      <c r="B462" s="93"/>
    </row>
    <row r="463" spans="2:2">
      <c r="B463" s="93"/>
    </row>
    <row r="464" spans="2:2">
      <c r="B464" s="93"/>
    </row>
    <row r="465" spans="2:2">
      <c r="B465" s="93"/>
    </row>
    <row r="466" spans="2:2">
      <c r="B466" s="93"/>
    </row>
    <row r="467" spans="2:2">
      <c r="B467" s="93"/>
    </row>
    <row r="468" spans="2:2">
      <c r="B468" s="93"/>
    </row>
    <row r="469" spans="2:2">
      <c r="B469" s="93"/>
    </row>
    <row r="470" spans="2:2">
      <c r="B470" s="93"/>
    </row>
    <row r="471" spans="2:2">
      <c r="B471" s="93"/>
    </row>
    <row r="472" spans="2:2">
      <c r="B472" s="93"/>
    </row>
    <row r="473" spans="2:2">
      <c r="B473" s="93"/>
    </row>
    <row r="474" spans="2:2">
      <c r="B474" s="93"/>
    </row>
    <row r="475" spans="2:2">
      <c r="B475" s="93"/>
    </row>
    <row r="476" spans="2:2">
      <c r="B476" s="93"/>
    </row>
    <row r="477" spans="2:2">
      <c r="B477" s="93"/>
    </row>
    <row r="478" spans="2:2">
      <c r="B478" s="93"/>
    </row>
    <row r="479" spans="2:2">
      <c r="B479" s="93"/>
    </row>
    <row r="480" spans="2:2">
      <c r="B480" s="93"/>
    </row>
    <row r="481" spans="2:2">
      <c r="B481" s="93"/>
    </row>
    <row r="482" spans="2:2">
      <c r="B482" s="93"/>
    </row>
    <row r="483" spans="2:2">
      <c r="B483" s="93"/>
    </row>
    <row r="484" spans="2:2">
      <c r="B484" s="93"/>
    </row>
    <row r="485" spans="2:2">
      <c r="B485" s="93"/>
    </row>
    <row r="486" spans="2:2">
      <c r="B486" s="93"/>
    </row>
    <row r="487" spans="2:2">
      <c r="B487" s="93"/>
    </row>
    <row r="488" spans="2:2">
      <c r="B488" s="93"/>
    </row>
    <row r="489" spans="2:2">
      <c r="B489" s="93"/>
    </row>
    <row r="490" spans="2:2">
      <c r="B490" s="93"/>
    </row>
    <row r="491" spans="2:2">
      <c r="B491" s="93"/>
    </row>
    <row r="492" spans="2:2">
      <c r="B492" s="93"/>
    </row>
    <row r="493" spans="2:2">
      <c r="B493" s="93"/>
    </row>
    <row r="494" spans="2:2">
      <c r="B494" s="93"/>
    </row>
    <row r="495" spans="2:2">
      <c r="B495" s="93"/>
    </row>
    <row r="496" spans="2:2">
      <c r="B496" s="93"/>
    </row>
    <row r="497" spans="2:2">
      <c r="B497" s="93"/>
    </row>
    <row r="498" spans="2:2">
      <c r="B498" s="93"/>
    </row>
    <row r="499" spans="2:2">
      <c r="B499" s="93"/>
    </row>
    <row r="500" spans="2:2">
      <c r="B500" s="93"/>
    </row>
    <row r="501" spans="2:2">
      <c r="B501" s="93"/>
    </row>
    <row r="502" spans="2:2">
      <c r="B502" s="93"/>
    </row>
    <row r="503" spans="2:2">
      <c r="B503" s="93"/>
    </row>
    <row r="504" spans="2:2">
      <c r="B504" s="93"/>
    </row>
    <row r="505" spans="2:2">
      <c r="B505" s="93"/>
    </row>
    <row r="506" spans="2:2">
      <c r="B506" s="93"/>
    </row>
    <row r="507" spans="2:2">
      <c r="B507" s="93"/>
    </row>
    <row r="508" spans="2:2">
      <c r="B508" s="93"/>
    </row>
    <row r="509" spans="2:2">
      <c r="B509" s="93"/>
    </row>
    <row r="510" spans="2:2">
      <c r="B510" s="93"/>
    </row>
    <row r="511" spans="2:2">
      <c r="B511" s="93"/>
    </row>
    <row r="512" spans="2:2">
      <c r="B512" s="93"/>
    </row>
    <row r="513" spans="2:2">
      <c r="B513" s="93"/>
    </row>
    <row r="514" spans="2:2">
      <c r="B514" s="93"/>
    </row>
    <row r="515" spans="2:2">
      <c r="B515" s="93"/>
    </row>
    <row r="516" spans="2:2">
      <c r="B516" s="93"/>
    </row>
    <row r="517" spans="2:2">
      <c r="B517" s="93"/>
    </row>
    <row r="518" spans="2:2">
      <c r="B518" s="93"/>
    </row>
    <row r="519" spans="2:2">
      <c r="B519" s="93"/>
    </row>
    <row r="520" spans="2:2">
      <c r="B520" s="93"/>
    </row>
    <row r="521" spans="2:2">
      <c r="B521" s="93"/>
    </row>
    <row r="522" spans="2:2">
      <c r="B522" s="93"/>
    </row>
    <row r="523" spans="2:2">
      <c r="B523" s="93"/>
    </row>
    <row r="524" spans="2:2">
      <c r="B524" s="93"/>
    </row>
    <row r="525" spans="2:2">
      <c r="B525" s="93"/>
    </row>
    <row r="526" spans="2:2">
      <c r="B526" s="93"/>
    </row>
    <row r="527" spans="2:2">
      <c r="B527" s="93"/>
    </row>
    <row r="528" spans="2:2">
      <c r="B528" s="93"/>
    </row>
    <row r="529" spans="2:2">
      <c r="B529" s="93"/>
    </row>
    <row r="530" spans="2:2">
      <c r="B530" s="93"/>
    </row>
    <row r="531" spans="2:2">
      <c r="B531" s="93"/>
    </row>
    <row r="532" spans="2:2">
      <c r="B532" s="93"/>
    </row>
    <row r="533" spans="2:2">
      <c r="B533" s="93"/>
    </row>
    <row r="534" spans="2:2">
      <c r="B534" s="93"/>
    </row>
    <row r="535" spans="2:2">
      <c r="B535" s="93"/>
    </row>
    <row r="536" spans="2:2">
      <c r="B536" s="93"/>
    </row>
    <row r="537" spans="2:2">
      <c r="B537" s="93"/>
    </row>
    <row r="538" spans="2:2">
      <c r="B538" s="93"/>
    </row>
    <row r="539" spans="2:2">
      <c r="B539" s="93"/>
    </row>
    <row r="540" spans="2:2">
      <c r="B540" s="93"/>
    </row>
    <row r="541" spans="2:2">
      <c r="B541" s="93"/>
    </row>
    <row r="542" spans="2:2">
      <c r="B542" s="93"/>
    </row>
    <row r="543" spans="2:2">
      <c r="B543" s="93"/>
    </row>
    <row r="544" spans="2:2">
      <c r="B544" s="93"/>
    </row>
    <row r="545" spans="2:2">
      <c r="B545" s="93"/>
    </row>
    <row r="546" spans="2:2">
      <c r="B546" s="93"/>
    </row>
    <row r="547" spans="2:2">
      <c r="B547" s="93"/>
    </row>
    <row r="548" spans="2:2">
      <c r="B548" s="93"/>
    </row>
    <row r="549" spans="2:2">
      <c r="B549" s="93"/>
    </row>
    <row r="550" spans="2:2">
      <c r="B550" s="93"/>
    </row>
    <row r="551" spans="2:2">
      <c r="B551" s="93"/>
    </row>
    <row r="552" spans="2:2">
      <c r="B552" s="93"/>
    </row>
    <row r="553" spans="2:2">
      <c r="B553" s="93"/>
    </row>
    <row r="554" spans="2:2">
      <c r="B554" s="93"/>
    </row>
    <row r="555" spans="2:2">
      <c r="B555" s="93"/>
    </row>
    <row r="556" spans="2:2">
      <c r="B556" s="93"/>
    </row>
    <row r="557" spans="2:2">
      <c r="B557" s="93"/>
    </row>
    <row r="558" spans="2:2">
      <c r="B558" s="93"/>
    </row>
    <row r="559" spans="2:2">
      <c r="B559" s="93"/>
    </row>
    <row r="560" spans="2:2">
      <c r="B560" s="93"/>
    </row>
    <row r="561" spans="2:2">
      <c r="B561" s="93"/>
    </row>
    <row r="562" spans="2:2">
      <c r="B562" s="93"/>
    </row>
    <row r="563" spans="2:2">
      <c r="B563" s="93"/>
    </row>
    <row r="564" spans="2:2">
      <c r="B564" s="93"/>
    </row>
    <row r="565" spans="2:2">
      <c r="B565" s="93"/>
    </row>
    <row r="566" spans="2:2">
      <c r="B566" s="93"/>
    </row>
    <row r="567" spans="2:2">
      <c r="B567" s="93"/>
    </row>
    <row r="568" spans="2:2">
      <c r="B568" s="93"/>
    </row>
    <row r="569" spans="2:2">
      <c r="B569" s="93"/>
    </row>
    <row r="570" spans="2:2">
      <c r="B570" s="93"/>
    </row>
    <row r="571" spans="2:2">
      <c r="B571" s="93"/>
    </row>
    <row r="572" spans="2:2">
      <c r="B572" s="93"/>
    </row>
    <row r="573" spans="2:2">
      <c r="B573" s="93"/>
    </row>
    <row r="574" spans="2:2">
      <c r="B574" s="93"/>
    </row>
    <row r="575" spans="2:2">
      <c r="B575" s="93"/>
    </row>
    <row r="576" spans="2:2">
      <c r="B576" s="93"/>
    </row>
    <row r="577" spans="2:2">
      <c r="B577" s="93"/>
    </row>
    <row r="578" spans="2:2">
      <c r="B578" s="93"/>
    </row>
    <row r="579" spans="2:2">
      <c r="B579" s="93"/>
    </row>
    <row r="580" spans="2:2">
      <c r="B580" s="93"/>
    </row>
    <row r="581" spans="2:2">
      <c r="B581" s="93"/>
    </row>
    <row r="582" spans="2:2">
      <c r="B582" s="93"/>
    </row>
    <row r="583" spans="2:2">
      <c r="B583" s="93"/>
    </row>
    <row r="584" spans="2:2">
      <c r="B584" s="93"/>
    </row>
    <row r="585" spans="2:2">
      <c r="B585" s="93"/>
    </row>
    <row r="586" spans="2:2">
      <c r="B586" s="93"/>
    </row>
  </sheetData>
  <mergeCells count="5">
    <mergeCell ref="F364:H364"/>
    <mergeCell ref="B2:H2"/>
    <mergeCell ref="A6:B6"/>
    <mergeCell ref="F363:H363"/>
    <mergeCell ref="C363:D363"/>
  </mergeCells>
  <pageMargins left="0.39370078740157483" right="0.39370078740157483" top="0.78740157480314965" bottom="0.39370078740157483" header="0.31496062992125984" footer="0.31496062992125984"/>
  <pageSetup paperSize="9" scale="65" fitToHeight="15" orientation="landscape" r:id="rId1"/>
  <rowBreaks count="9" manualBreakCount="9">
    <brk id="25" max="7" man="1"/>
    <brk id="54" max="7" man="1"/>
    <brk id="82" max="7" man="1"/>
    <brk id="178" max="7" man="1"/>
    <brk id="199" max="7" man="1"/>
    <brk id="227" max="7" man="1"/>
    <brk id="260" max="7" man="1"/>
    <brk id="328" max="7" man="1"/>
    <brk id="364" max="7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K470"/>
  <sheetViews>
    <sheetView view="pageBreakPreview" zoomScale="80" zoomScaleNormal="70" zoomScaleSheetLayoutView="80" workbookViewId="0">
      <selection activeCell="N20" sqref="N20"/>
    </sheetView>
  </sheetViews>
  <sheetFormatPr defaultRowHeight="18.75"/>
  <cols>
    <col min="1" max="1" width="66.5703125" style="49" customWidth="1"/>
    <col min="2" max="2" width="12" style="89" customWidth="1"/>
    <col min="3" max="3" width="16.140625" style="89" customWidth="1"/>
    <col min="4" max="4" width="16.7109375" style="89" customWidth="1"/>
    <col min="5" max="5" width="16.140625" style="89" customWidth="1"/>
    <col min="6" max="6" width="18.140625" style="89" customWidth="1"/>
    <col min="7" max="7" width="17.28515625" style="49" customWidth="1"/>
    <col min="8" max="16384" width="9.140625" style="49"/>
  </cols>
  <sheetData>
    <row r="2" spans="1:7" ht="20.25">
      <c r="A2" s="206" t="s">
        <v>632</v>
      </c>
      <c r="B2" s="206"/>
      <c r="C2" s="206"/>
      <c r="D2" s="206"/>
      <c r="E2" s="206"/>
      <c r="F2" s="206"/>
    </row>
    <row r="3" spans="1:7">
      <c r="A3" s="50"/>
      <c r="B3" s="51"/>
      <c r="C3" s="50"/>
      <c r="D3" s="50"/>
      <c r="E3" s="50"/>
      <c r="F3" s="51"/>
      <c r="G3" s="49" t="s">
        <v>64</v>
      </c>
    </row>
    <row r="4" spans="1:7" ht="61.5" customHeight="1">
      <c r="A4" s="120" t="s">
        <v>23</v>
      </c>
      <c r="B4" s="121" t="s">
        <v>5</v>
      </c>
      <c r="C4" s="54" t="s">
        <v>633</v>
      </c>
      <c r="D4" s="54" t="s">
        <v>634</v>
      </c>
      <c r="E4" s="54" t="s">
        <v>635</v>
      </c>
      <c r="F4" s="122" t="s">
        <v>108</v>
      </c>
      <c r="G4" s="123" t="s">
        <v>636</v>
      </c>
    </row>
    <row r="5" spans="1:7" ht="19.5" customHeight="1">
      <c r="A5" s="124">
        <v>1</v>
      </c>
      <c r="B5" s="125">
        <v>2</v>
      </c>
      <c r="C5" s="125">
        <v>3</v>
      </c>
      <c r="D5" s="125">
        <v>4</v>
      </c>
      <c r="E5" s="125">
        <v>5</v>
      </c>
      <c r="F5" s="125">
        <v>6</v>
      </c>
      <c r="G5" s="58">
        <v>7</v>
      </c>
    </row>
    <row r="6" spans="1:7" ht="26.25" customHeight="1">
      <c r="A6" s="126" t="s">
        <v>637</v>
      </c>
      <c r="B6" s="127"/>
      <c r="C6" s="128"/>
      <c r="D6" s="128"/>
      <c r="E6" s="128"/>
      <c r="F6" s="128"/>
      <c r="G6" s="129"/>
    </row>
    <row r="7" spans="1:7" ht="33" customHeight="1">
      <c r="A7" s="130" t="s">
        <v>638</v>
      </c>
      <c r="B7" s="131"/>
      <c r="C7" s="136">
        <f>C8+C13+C18</f>
        <v>90107</v>
      </c>
      <c r="D7" s="136">
        <f t="shared" ref="D7:E7" si="0">D8+D13+D18</f>
        <v>91177.2</v>
      </c>
      <c r="E7" s="136">
        <f t="shared" si="0"/>
        <v>101382.40000000001</v>
      </c>
      <c r="F7" s="132"/>
      <c r="G7" s="133"/>
    </row>
    <row r="8" spans="1:7" ht="24.75" customHeight="1">
      <c r="A8" s="130" t="s">
        <v>639</v>
      </c>
      <c r="B8" s="131">
        <v>3010</v>
      </c>
      <c r="C8" s="136">
        <f>SUM(C9:C12)</f>
        <v>74178.7</v>
      </c>
      <c r="D8" s="136">
        <f t="shared" ref="D8:E8" si="1">SUM(D9:D12)</f>
        <v>78786.7</v>
      </c>
      <c r="E8" s="136">
        <f t="shared" si="1"/>
        <v>86185.3</v>
      </c>
      <c r="F8" s="136">
        <f t="shared" ref="F8:F236" si="2">E8-D8</f>
        <v>7398.6000000000058</v>
      </c>
      <c r="G8" s="146">
        <f t="shared" ref="G8:G236" si="3">(E8/D8)*100</f>
        <v>109.39067126812014</v>
      </c>
    </row>
    <row r="9" spans="1:7" ht="37.5" customHeight="1">
      <c r="A9" s="13" t="s">
        <v>202</v>
      </c>
      <c r="B9" s="127"/>
      <c r="C9" s="128">
        <v>72195.5</v>
      </c>
      <c r="D9" s="128">
        <v>74331.199999999997</v>
      </c>
      <c r="E9" s="128">
        <v>85038.5</v>
      </c>
      <c r="F9" s="128">
        <f t="shared" ref="F9:F11" si="4">E9-D9</f>
        <v>10707.300000000003</v>
      </c>
      <c r="G9" s="129">
        <f t="shared" ref="G9:G11" si="5">(E9/D9)*100</f>
        <v>114.40485287470135</v>
      </c>
    </row>
    <row r="10" spans="1:7" ht="51" customHeight="1">
      <c r="A10" s="13" t="s">
        <v>259</v>
      </c>
      <c r="B10" s="127"/>
      <c r="C10" s="128">
        <v>1159.2</v>
      </c>
      <c r="D10" s="128">
        <v>3347.5</v>
      </c>
      <c r="E10" s="128">
        <v>742</v>
      </c>
      <c r="F10" s="128">
        <f t="shared" si="4"/>
        <v>-2605.5</v>
      </c>
      <c r="G10" s="129">
        <f t="shared" si="5"/>
        <v>22.165795369678865</v>
      </c>
    </row>
    <row r="11" spans="1:7" ht="24.75" customHeight="1">
      <c r="A11" s="13" t="s">
        <v>203</v>
      </c>
      <c r="B11" s="127"/>
      <c r="C11" s="128">
        <v>398.1</v>
      </c>
      <c r="D11" s="128">
        <v>600</v>
      </c>
      <c r="E11" s="128">
        <v>50.1</v>
      </c>
      <c r="F11" s="128">
        <f t="shared" si="4"/>
        <v>-549.9</v>
      </c>
      <c r="G11" s="129">
        <f t="shared" si="5"/>
        <v>8.35</v>
      </c>
    </row>
    <row r="12" spans="1:7" ht="44.25" customHeight="1">
      <c r="A12" s="13" t="s">
        <v>437</v>
      </c>
      <c r="B12" s="131"/>
      <c r="C12" s="128">
        <v>425.9</v>
      </c>
      <c r="D12" s="128">
        <v>508</v>
      </c>
      <c r="E12" s="128">
        <v>354.7</v>
      </c>
      <c r="F12" s="128">
        <f t="shared" si="2"/>
        <v>-153.30000000000001</v>
      </c>
      <c r="G12" s="129">
        <f t="shared" si="3"/>
        <v>69.822834645669289</v>
      </c>
    </row>
    <row r="13" spans="1:7" ht="27.75" customHeight="1">
      <c r="A13" s="130" t="s">
        <v>640</v>
      </c>
      <c r="B13" s="131">
        <v>3020</v>
      </c>
      <c r="C13" s="136">
        <f>C14+C15+C17</f>
        <v>15449.8</v>
      </c>
      <c r="D13" s="136">
        <f t="shared" ref="D13" si="6">D14+D15+D17</f>
        <v>12189</v>
      </c>
      <c r="E13" s="136">
        <f>SUM(E14:E17)</f>
        <v>14472.1</v>
      </c>
      <c r="F13" s="136">
        <f t="shared" si="2"/>
        <v>2283.1000000000004</v>
      </c>
      <c r="G13" s="146">
        <f t="shared" si="3"/>
        <v>118.7308228730823</v>
      </c>
    </row>
    <row r="14" spans="1:7" ht="27" customHeight="1">
      <c r="A14" s="144" t="s">
        <v>653</v>
      </c>
      <c r="B14" s="144"/>
      <c r="C14" s="49">
        <v>199.2</v>
      </c>
      <c r="D14" s="132"/>
      <c r="E14" s="132"/>
      <c r="F14" s="128">
        <f t="shared" si="2"/>
        <v>0</v>
      </c>
      <c r="G14" s="164" t="e">
        <f t="shared" si="3"/>
        <v>#DIV/0!</v>
      </c>
    </row>
    <row r="15" spans="1:7" ht="40.5" customHeight="1">
      <c r="A15" s="13" t="s">
        <v>204</v>
      </c>
      <c r="B15" s="127"/>
      <c r="C15" s="195">
        <v>334.7</v>
      </c>
      <c r="D15" s="128">
        <v>109.8</v>
      </c>
      <c r="E15" s="128"/>
      <c r="F15" s="128">
        <f t="shared" si="2"/>
        <v>-109.8</v>
      </c>
      <c r="G15" s="129">
        <f t="shared" si="3"/>
        <v>0</v>
      </c>
    </row>
    <row r="16" spans="1:7" ht="57.75" customHeight="1">
      <c r="A16" s="13" t="s">
        <v>715</v>
      </c>
      <c r="B16" s="127"/>
      <c r="C16" s="195"/>
      <c r="D16" s="128"/>
      <c r="E16" s="128">
        <v>143</v>
      </c>
      <c r="F16" s="128">
        <f t="shared" si="2"/>
        <v>143</v>
      </c>
      <c r="G16" s="164" t="e">
        <f t="shared" si="3"/>
        <v>#DIV/0!</v>
      </c>
    </row>
    <row r="17" spans="1:7" ht="39" customHeight="1">
      <c r="A17" s="13" t="s">
        <v>241</v>
      </c>
      <c r="B17" s="127"/>
      <c r="C17" s="128">
        <v>14915.9</v>
      </c>
      <c r="D17" s="128">
        <v>12079.2</v>
      </c>
      <c r="E17" s="128">
        <v>14329.1</v>
      </c>
      <c r="F17" s="128">
        <f t="shared" si="2"/>
        <v>2249.8999999999996</v>
      </c>
      <c r="G17" s="129">
        <f t="shared" si="3"/>
        <v>118.62623352539903</v>
      </c>
    </row>
    <row r="18" spans="1:7" ht="24.75" customHeight="1">
      <c r="A18" s="130" t="s">
        <v>641</v>
      </c>
      <c r="B18" s="131">
        <v>3040</v>
      </c>
      <c r="C18" s="136">
        <f t="shared" ref="C18:D18" si="7">SUM(C19:C24)</f>
        <v>478.5</v>
      </c>
      <c r="D18" s="136">
        <f t="shared" si="7"/>
        <v>201.5</v>
      </c>
      <c r="E18" s="136">
        <f>SUM(E19:E24)</f>
        <v>725</v>
      </c>
      <c r="F18" s="136">
        <f t="shared" si="2"/>
        <v>523.5</v>
      </c>
      <c r="G18" s="146">
        <f t="shared" si="3"/>
        <v>359.80148883374687</v>
      </c>
    </row>
    <row r="19" spans="1:7" ht="42" customHeight="1">
      <c r="A19" s="13" t="s">
        <v>205</v>
      </c>
      <c r="B19" s="127"/>
      <c r="C19" s="128">
        <v>26.2</v>
      </c>
      <c r="D19" s="128">
        <v>26</v>
      </c>
      <c r="E19" s="128">
        <v>26</v>
      </c>
      <c r="F19" s="128">
        <f t="shared" si="2"/>
        <v>0</v>
      </c>
      <c r="G19" s="129">
        <f t="shared" si="3"/>
        <v>100</v>
      </c>
    </row>
    <row r="20" spans="1:7" ht="24.75" customHeight="1">
      <c r="A20" s="13" t="s">
        <v>206</v>
      </c>
      <c r="B20" s="127"/>
      <c r="C20" s="128">
        <v>38.200000000000003</v>
      </c>
      <c r="D20" s="128">
        <v>175.5</v>
      </c>
      <c r="E20" s="128">
        <v>82.1</v>
      </c>
      <c r="F20" s="128">
        <f t="shared" si="2"/>
        <v>-93.4</v>
      </c>
      <c r="G20" s="129">
        <f t="shared" si="3"/>
        <v>46.780626780626775</v>
      </c>
    </row>
    <row r="21" spans="1:7" ht="24.75" customHeight="1">
      <c r="A21" s="13" t="s">
        <v>207</v>
      </c>
      <c r="B21" s="127"/>
      <c r="C21" s="128">
        <v>300.3</v>
      </c>
      <c r="D21" s="128"/>
      <c r="E21" s="128">
        <v>555.79999999999995</v>
      </c>
      <c r="F21" s="128">
        <f t="shared" si="2"/>
        <v>555.79999999999995</v>
      </c>
      <c r="G21" s="164" t="e">
        <f t="shared" si="3"/>
        <v>#DIV/0!</v>
      </c>
    </row>
    <row r="22" spans="1:7" ht="21" customHeight="1">
      <c r="A22" s="134" t="s">
        <v>654</v>
      </c>
      <c r="B22" s="131"/>
      <c r="C22" s="128">
        <v>26.4</v>
      </c>
      <c r="D22" s="128"/>
      <c r="E22" s="128">
        <v>4.9000000000000004</v>
      </c>
      <c r="F22" s="128">
        <f t="shared" si="2"/>
        <v>4.9000000000000004</v>
      </c>
      <c r="G22" s="164" t="e">
        <f t="shared" si="3"/>
        <v>#DIV/0!</v>
      </c>
    </row>
    <row r="23" spans="1:7" ht="37.5" customHeight="1">
      <c r="A23" s="134" t="s">
        <v>655</v>
      </c>
      <c r="B23" s="131"/>
      <c r="C23" s="128">
        <v>79.2</v>
      </c>
      <c r="D23" s="128"/>
      <c r="E23" s="128">
        <v>11.6</v>
      </c>
      <c r="F23" s="128">
        <f t="shared" si="2"/>
        <v>11.6</v>
      </c>
      <c r="G23" s="164" t="e">
        <f t="shared" si="3"/>
        <v>#DIV/0!</v>
      </c>
    </row>
    <row r="24" spans="1:7" ht="22.5" customHeight="1">
      <c r="A24" s="134" t="s">
        <v>512</v>
      </c>
      <c r="B24" s="131"/>
      <c r="C24" s="128">
        <v>8.1999999999999993</v>
      </c>
      <c r="D24" s="128"/>
      <c r="E24" s="128">
        <v>44.6</v>
      </c>
      <c r="F24" s="128">
        <f t="shared" si="2"/>
        <v>44.6</v>
      </c>
      <c r="G24" s="164" t="e">
        <f t="shared" si="3"/>
        <v>#DIV/0!</v>
      </c>
    </row>
    <row r="25" spans="1:7" ht="31.5" customHeight="1">
      <c r="A25" s="130" t="s">
        <v>642</v>
      </c>
      <c r="B25" s="131"/>
      <c r="C25" s="132"/>
      <c r="D25" s="132"/>
      <c r="E25" s="132"/>
      <c r="F25" s="132">
        <f t="shared" si="2"/>
        <v>0</v>
      </c>
      <c r="G25" s="165" t="e">
        <f t="shared" si="3"/>
        <v>#DIV/0!</v>
      </c>
    </row>
    <row r="26" spans="1:7" ht="27" customHeight="1">
      <c r="A26" s="130" t="s">
        <v>143</v>
      </c>
      <c r="B26" s="131">
        <v>3139</v>
      </c>
      <c r="C26" s="136">
        <f>C27+C28</f>
        <v>8.1999999999999993</v>
      </c>
      <c r="D26" s="136">
        <f t="shared" ref="D26:E26" si="8">D27+D28</f>
        <v>0</v>
      </c>
      <c r="E26" s="136">
        <f t="shared" si="8"/>
        <v>70.5</v>
      </c>
      <c r="F26" s="136">
        <f t="shared" si="2"/>
        <v>70.5</v>
      </c>
      <c r="G26" s="166" t="e">
        <f t="shared" si="3"/>
        <v>#DIV/0!</v>
      </c>
    </row>
    <row r="27" spans="1:7" ht="26.25" customHeight="1">
      <c r="A27" s="134" t="s">
        <v>657</v>
      </c>
      <c r="B27" s="131"/>
      <c r="C27" s="132"/>
      <c r="D27" s="132"/>
      <c r="E27" s="132">
        <v>25.9</v>
      </c>
      <c r="F27" s="128">
        <f t="shared" si="2"/>
        <v>25.9</v>
      </c>
      <c r="G27" s="164" t="e">
        <f t="shared" si="3"/>
        <v>#DIV/0!</v>
      </c>
    </row>
    <row r="28" spans="1:7" ht="24.75" customHeight="1">
      <c r="A28" s="134" t="s">
        <v>658</v>
      </c>
      <c r="B28" s="131"/>
      <c r="C28" s="132">
        <v>8.1999999999999993</v>
      </c>
      <c r="D28" s="132"/>
      <c r="E28" s="132">
        <v>44.6</v>
      </c>
      <c r="F28" s="128">
        <f t="shared" si="2"/>
        <v>44.6</v>
      </c>
      <c r="G28" s="164" t="e">
        <f t="shared" si="3"/>
        <v>#DIV/0!</v>
      </c>
    </row>
    <row r="29" spans="1:7" ht="31.5" customHeight="1">
      <c r="A29" s="126" t="s">
        <v>643</v>
      </c>
      <c r="B29" s="127"/>
      <c r="C29" s="128"/>
      <c r="D29" s="128"/>
      <c r="E29" s="128"/>
      <c r="F29" s="128">
        <f t="shared" si="2"/>
        <v>0</v>
      </c>
      <c r="G29" s="164" t="e">
        <f t="shared" si="3"/>
        <v>#DIV/0!</v>
      </c>
    </row>
    <row r="30" spans="1:7" ht="42" customHeight="1">
      <c r="A30" s="130" t="s">
        <v>644</v>
      </c>
      <c r="B30" s="131">
        <v>3200</v>
      </c>
      <c r="C30" s="136">
        <f>C31+C34</f>
        <v>1981.7999999999997</v>
      </c>
      <c r="D30" s="136">
        <f t="shared" ref="D30:E30" si="9">D31+D34</f>
        <v>21488.799999999999</v>
      </c>
      <c r="E30" s="136">
        <f t="shared" si="9"/>
        <v>55415.7</v>
      </c>
      <c r="F30" s="136">
        <f t="shared" si="2"/>
        <v>33926.899999999994</v>
      </c>
      <c r="G30" s="146">
        <f t="shared" si="3"/>
        <v>257.88178027623695</v>
      </c>
    </row>
    <row r="31" spans="1:7" ht="24.75" customHeight="1">
      <c r="A31" s="130" t="s">
        <v>641</v>
      </c>
      <c r="B31" s="131">
        <v>3210</v>
      </c>
      <c r="C31" s="136">
        <f>C32</f>
        <v>204.8</v>
      </c>
      <c r="D31" s="136">
        <f t="shared" ref="D31:E31" si="10">D32</f>
        <v>10744.4</v>
      </c>
      <c r="E31" s="136">
        <f t="shared" si="10"/>
        <v>23521</v>
      </c>
      <c r="F31" s="136">
        <f t="shared" si="2"/>
        <v>12776.6</v>
      </c>
      <c r="G31" s="146">
        <f t="shared" si="3"/>
        <v>218.91403894121589</v>
      </c>
    </row>
    <row r="32" spans="1:7" ht="45" customHeight="1">
      <c r="A32" s="13" t="s">
        <v>241</v>
      </c>
      <c r="B32" s="131"/>
      <c r="C32" s="128">
        <v>204.8</v>
      </c>
      <c r="D32" s="128">
        <v>10744.4</v>
      </c>
      <c r="E32" s="128">
        <v>23521</v>
      </c>
      <c r="F32" s="128">
        <f t="shared" si="2"/>
        <v>12776.6</v>
      </c>
      <c r="G32" s="129">
        <f t="shared" si="3"/>
        <v>218.91403894121589</v>
      </c>
    </row>
    <row r="33" spans="1:7" ht="29.25" customHeight="1">
      <c r="A33" s="130" t="s">
        <v>645</v>
      </c>
      <c r="B33" s="131"/>
      <c r="C33" s="132"/>
      <c r="D33" s="132"/>
      <c r="E33" s="132"/>
      <c r="F33" s="132">
        <f t="shared" si="2"/>
        <v>0</v>
      </c>
      <c r="G33" s="165" t="e">
        <f t="shared" si="3"/>
        <v>#DIV/0!</v>
      </c>
    </row>
    <row r="34" spans="1:7" ht="31.5" customHeight="1">
      <c r="A34" s="130" t="s">
        <v>646</v>
      </c>
      <c r="B34" s="131">
        <v>3260</v>
      </c>
      <c r="C34" s="136">
        <f>C35+C126+C239</f>
        <v>1776.9999999999998</v>
      </c>
      <c r="D34" s="136">
        <f>D35+D126+D239</f>
        <v>10744.4</v>
      </c>
      <c r="E34" s="136">
        <f>E35+E126+E239</f>
        <v>31894.7</v>
      </c>
      <c r="F34" s="136">
        <f t="shared" si="2"/>
        <v>21150.300000000003</v>
      </c>
      <c r="G34" s="146">
        <f t="shared" si="3"/>
        <v>296.84952161125796</v>
      </c>
    </row>
    <row r="35" spans="1:7" s="76" customFormat="1" ht="45" customHeight="1">
      <c r="A35" s="130" t="s">
        <v>647</v>
      </c>
      <c r="B35" s="145">
        <v>3266</v>
      </c>
      <c r="C35" s="136">
        <f>SUM(C36:C125)</f>
        <v>926.99999999999989</v>
      </c>
      <c r="D35" s="136">
        <f>SUM(D36:D125)</f>
        <v>8744.4</v>
      </c>
      <c r="E35" s="136">
        <f>SUM(E36:E125)</f>
        <v>30234.5</v>
      </c>
      <c r="F35" s="136">
        <f t="shared" si="2"/>
        <v>21490.1</v>
      </c>
      <c r="G35" s="146">
        <f t="shared" si="3"/>
        <v>345.75842825122368</v>
      </c>
    </row>
    <row r="36" spans="1:7" s="76" customFormat="1" ht="27.75" customHeight="1">
      <c r="A36" s="63" t="s">
        <v>276</v>
      </c>
      <c r="B36" s="135"/>
      <c r="C36" s="128">
        <v>103.7</v>
      </c>
      <c r="D36" s="136"/>
      <c r="E36" s="136"/>
      <c r="F36" s="128">
        <f t="shared" si="2"/>
        <v>0</v>
      </c>
      <c r="G36" s="164" t="e">
        <f t="shared" si="3"/>
        <v>#DIV/0!</v>
      </c>
    </row>
    <row r="37" spans="1:7" s="76" customFormat="1" ht="26.25" customHeight="1">
      <c r="A37" s="65" t="s">
        <v>277</v>
      </c>
      <c r="B37" s="135"/>
      <c r="C37" s="64">
        <v>22</v>
      </c>
      <c r="D37" s="136"/>
      <c r="E37" s="136"/>
      <c r="F37" s="128">
        <f t="shared" si="2"/>
        <v>0</v>
      </c>
      <c r="G37" s="164" t="e">
        <f t="shared" si="3"/>
        <v>#DIV/0!</v>
      </c>
    </row>
    <row r="38" spans="1:7" s="76" customFormat="1" ht="30" customHeight="1">
      <c r="A38" s="65" t="s">
        <v>278</v>
      </c>
      <c r="B38" s="135"/>
      <c r="C38" s="64">
        <v>6.4</v>
      </c>
      <c r="D38" s="136"/>
      <c r="E38" s="136"/>
      <c r="F38" s="128">
        <f t="shared" si="2"/>
        <v>0</v>
      </c>
      <c r="G38" s="164" t="e">
        <f t="shared" si="3"/>
        <v>#DIV/0!</v>
      </c>
    </row>
    <row r="39" spans="1:7" s="76" customFormat="1" ht="27.75" customHeight="1">
      <c r="A39" s="65" t="s">
        <v>279</v>
      </c>
      <c r="B39" s="135"/>
      <c r="C39" s="64">
        <v>7.2</v>
      </c>
      <c r="D39" s="136"/>
      <c r="E39" s="136"/>
      <c r="F39" s="128">
        <f t="shared" si="2"/>
        <v>0</v>
      </c>
      <c r="G39" s="164" t="e">
        <f t="shared" si="3"/>
        <v>#DIV/0!</v>
      </c>
    </row>
    <row r="40" spans="1:7" s="76" customFormat="1" ht="24.75" customHeight="1">
      <c r="A40" s="65" t="s">
        <v>280</v>
      </c>
      <c r="B40" s="135"/>
      <c r="C40" s="64">
        <v>8.1</v>
      </c>
      <c r="D40" s="136"/>
      <c r="E40" s="136"/>
      <c r="F40" s="128">
        <f t="shared" si="2"/>
        <v>0</v>
      </c>
      <c r="G40" s="164" t="e">
        <f t="shared" si="3"/>
        <v>#DIV/0!</v>
      </c>
    </row>
    <row r="41" spans="1:7" s="76" customFormat="1" ht="24" customHeight="1">
      <c r="A41" s="65" t="s">
        <v>286</v>
      </c>
      <c r="B41" s="135"/>
      <c r="C41" s="64">
        <v>78.7</v>
      </c>
      <c r="D41" s="136"/>
      <c r="E41" s="136"/>
      <c r="F41" s="128">
        <f t="shared" si="2"/>
        <v>0</v>
      </c>
      <c r="G41" s="164" t="e">
        <f t="shared" si="3"/>
        <v>#DIV/0!</v>
      </c>
    </row>
    <row r="42" spans="1:7" s="76" customFormat="1" ht="45" customHeight="1">
      <c r="A42" s="65" t="s">
        <v>281</v>
      </c>
      <c r="B42" s="135"/>
      <c r="C42" s="64">
        <v>16.600000000000001</v>
      </c>
      <c r="D42" s="136"/>
      <c r="E42" s="136"/>
      <c r="F42" s="128">
        <f t="shared" si="2"/>
        <v>0</v>
      </c>
      <c r="G42" s="164" t="e">
        <f t="shared" si="3"/>
        <v>#DIV/0!</v>
      </c>
    </row>
    <row r="43" spans="1:7" s="76" customFormat="1" ht="27" customHeight="1">
      <c r="A43" s="65" t="s">
        <v>282</v>
      </c>
      <c r="B43" s="135"/>
      <c r="C43" s="64">
        <f>6+7.5</f>
        <v>13.5</v>
      </c>
      <c r="D43" s="136"/>
      <c r="E43" s="136"/>
      <c r="F43" s="128">
        <f t="shared" si="2"/>
        <v>0</v>
      </c>
      <c r="G43" s="164" t="e">
        <f t="shared" si="3"/>
        <v>#DIV/0!</v>
      </c>
    </row>
    <row r="44" spans="1:7" s="76" customFormat="1" ht="29.25" customHeight="1">
      <c r="A44" s="65" t="s">
        <v>283</v>
      </c>
      <c r="B44" s="135"/>
      <c r="C44" s="64">
        <v>26.2</v>
      </c>
      <c r="D44" s="136"/>
      <c r="E44" s="136"/>
      <c r="F44" s="128">
        <f t="shared" si="2"/>
        <v>0</v>
      </c>
      <c r="G44" s="164" t="e">
        <f t="shared" si="3"/>
        <v>#DIV/0!</v>
      </c>
    </row>
    <row r="45" spans="1:7" s="76" customFormat="1" ht="26.25" customHeight="1">
      <c r="A45" s="65" t="s">
        <v>284</v>
      </c>
      <c r="B45" s="135"/>
      <c r="C45" s="64">
        <v>28.2</v>
      </c>
      <c r="D45" s="136"/>
      <c r="E45" s="136"/>
      <c r="F45" s="128">
        <f t="shared" si="2"/>
        <v>0</v>
      </c>
      <c r="G45" s="164" t="e">
        <f t="shared" si="3"/>
        <v>#DIV/0!</v>
      </c>
    </row>
    <row r="46" spans="1:7" s="76" customFormat="1" ht="26.25" customHeight="1">
      <c r="A46" s="65" t="s">
        <v>285</v>
      </c>
      <c r="B46" s="135"/>
      <c r="C46" s="64">
        <v>17.899999999999999</v>
      </c>
      <c r="D46" s="136"/>
      <c r="E46" s="136"/>
      <c r="F46" s="128">
        <f t="shared" si="2"/>
        <v>0</v>
      </c>
      <c r="G46" s="164" t="e">
        <f t="shared" si="3"/>
        <v>#DIV/0!</v>
      </c>
    </row>
    <row r="47" spans="1:7" s="76" customFormat="1" ht="26.25" customHeight="1">
      <c r="A47" s="65" t="s">
        <v>408</v>
      </c>
      <c r="B47" s="135"/>
      <c r="C47" s="64">
        <v>7.5</v>
      </c>
      <c r="D47" s="136"/>
      <c r="E47" s="136"/>
      <c r="F47" s="128">
        <f t="shared" si="2"/>
        <v>0</v>
      </c>
      <c r="G47" s="164" t="e">
        <f t="shared" si="3"/>
        <v>#DIV/0!</v>
      </c>
    </row>
    <row r="48" spans="1:7" s="76" customFormat="1" ht="25.5" customHeight="1">
      <c r="A48" s="65" t="s">
        <v>409</v>
      </c>
      <c r="B48" s="135"/>
      <c r="C48" s="64">
        <v>13.6</v>
      </c>
      <c r="D48" s="136"/>
      <c r="E48" s="136"/>
      <c r="F48" s="128">
        <f t="shared" si="2"/>
        <v>0</v>
      </c>
      <c r="G48" s="164" t="e">
        <f t="shared" si="3"/>
        <v>#DIV/0!</v>
      </c>
    </row>
    <row r="49" spans="1:7" s="76" customFormat="1" ht="27" customHeight="1">
      <c r="A49" s="65" t="s">
        <v>410</v>
      </c>
      <c r="B49" s="135"/>
      <c r="C49" s="64">
        <v>58.5</v>
      </c>
      <c r="D49" s="136"/>
      <c r="E49" s="136"/>
      <c r="F49" s="128">
        <f t="shared" si="2"/>
        <v>0</v>
      </c>
      <c r="G49" s="164" t="e">
        <f t="shared" si="3"/>
        <v>#DIV/0!</v>
      </c>
    </row>
    <row r="50" spans="1:7" s="76" customFormat="1" ht="23.25" customHeight="1">
      <c r="A50" s="65" t="s">
        <v>473</v>
      </c>
      <c r="B50" s="135"/>
      <c r="C50" s="64">
        <v>33</v>
      </c>
      <c r="D50" s="136"/>
      <c r="E50" s="136"/>
      <c r="F50" s="128">
        <f t="shared" si="2"/>
        <v>0</v>
      </c>
      <c r="G50" s="164" t="e">
        <f t="shared" si="3"/>
        <v>#DIV/0!</v>
      </c>
    </row>
    <row r="51" spans="1:7" s="76" customFormat="1" ht="24" customHeight="1">
      <c r="A51" s="65" t="s">
        <v>474</v>
      </c>
      <c r="B51" s="135"/>
      <c r="C51" s="64">
        <v>12.4</v>
      </c>
      <c r="D51" s="136"/>
      <c r="E51" s="136"/>
      <c r="F51" s="128">
        <f t="shared" si="2"/>
        <v>0</v>
      </c>
      <c r="G51" s="164" t="e">
        <f t="shared" si="3"/>
        <v>#DIV/0!</v>
      </c>
    </row>
    <row r="52" spans="1:7" s="76" customFormat="1" ht="27.75" customHeight="1">
      <c r="A52" s="65" t="s">
        <v>475</v>
      </c>
      <c r="B52" s="135"/>
      <c r="C52" s="64">
        <v>7.8</v>
      </c>
      <c r="D52" s="136"/>
      <c r="E52" s="136"/>
      <c r="F52" s="128">
        <f t="shared" si="2"/>
        <v>0</v>
      </c>
      <c r="G52" s="164" t="e">
        <f t="shared" si="3"/>
        <v>#DIV/0!</v>
      </c>
    </row>
    <row r="53" spans="1:7" s="76" customFormat="1" ht="27.75" customHeight="1">
      <c r="A53" s="65" t="s">
        <v>475</v>
      </c>
      <c r="B53" s="135"/>
      <c r="C53" s="64">
        <v>0.4</v>
      </c>
      <c r="D53" s="136"/>
      <c r="E53" s="136"/>
      <c r="F53" s="128">
        <f t="shared" si="2"/>
        <v>0</v>
      </c>
      <c r="G53" s="164" t="e">
        <f t="shared" si="3"/>
        <v>#DIV/0!</v>
      </c>
    </row>
    <row r="54" spans="1:7" s="76" customFormat="1" ht="27.75" customHeight="1">
      <c r="A54" s="65" t="s">
        <v>476</v>
      </c>
      <c r="B54" s="135"/>
      <c r="C54" s="64">
        <v>7.8</v>
      </c>
      <c r="D54" s="136"/>
      <c r="E54" s="136"/>
      <c r="F54" s="128">
        <f t="shared" si="2"/>
        <v>0</v>
      </c>
      <c r="G54" s="164" t="e">
        <f t="shared" si="3"/>
        <v>#DIV/0!</v>
      </c>
    </row>
    <row r="55" spans="1:7" s="76" customFormat="1" ht="24" customHeight="1">
      <c r="A55" s="65" t="s">
        <v>476</v>
      </c>
      <c r="B55" s="135"/>
      <c r="C55" s="64">
        <v>0.8</v>
      </c>
      <c r="D55" s="136"/>
      <c r="E55" s="136"/>
      <c r="F55" s="128">
        <f t="shared" si="2"/>
        <v>0</v>
      </c>
      <c r="G55" s="164" t="e">
        <f t="shared" si="3"/>
        <v>#DIV/0!</v>
      </c>
    </row>
    <row r="56" spans="1:7" s="76" customFormat="1" ht="30" customHeight="1">
      <c r="A56" s="65" t="s">
        <v>477</v>
      </c>
      <c r="B56" s="135"/>
      <c r="C56" s="64">
        <v>89.5</v>
      </c>
      <c r="D56" s="136"/>
      <c r="E56" s="136"/>
      <c r="F56" s="128">
        <f t="shared" si="2"/>
        <v>0</v>
      </c>
      <c r="G56" s="164" t="e">
        <f t="shared" si="3"/>
        <v>#DIV/0!</v>
      </c>
    </row>
    <row r="57" spans="1:7" s="76" customFormat="1" ht="27.75" customHeight="1">
      <c r="A57" s="167" t="s">
        <v>407</v>
      </c>
      <c r="B57" s="135"/>
      <c r="C57" s="64">
        <v>302.8</v>
      </c>
      <c r="D57" s="136"/>
      <c r="E57" s="136"/>
      <c r="F57" s="128">
        <f t="shared" si="2"/>
        <v>0</v>
      </c>
      <c r="G57" s="164" t="e">
        <f t="shared" si="3"/>
        <v>#DIV/0!</v>
      </c>
    </row>
    <row r="58" spans="1:7" s="76" customFormat="1" ht="45" customHeight="1">
      <c r="A58" s="65" t="s">
        <v>244</v>
      </c>
      <c r="B58" s="135"/>
      <c r="C58" s="64">
        <v>64.400000000000006</v>
      </c>
      <c r="D58" s="136"/>
      <c r="E58" s="136"/>
      <c r="F58" s="128">
        <f t="shared" si="2"/>
        <v>0</v>
      </c>
      <c r="G58" s="164" t="e">
        <f t="shared" si="3"/>
        <v>#DIV/0!</v>
      </c>
    </row>
    <row r="59" spans="1:7" s="76" customFormat="1" ht="45" customHeight="1">
      <c r="A59" s="67" t="s">
        <v>449</v>
      </c>
      <c r="B59" s="135"/>
      <c r="C59" s="136"/>
      <c r="D59" s="68">
        <v>270</v>
      </c>
      <c r="E59" s="136"/>
      <c r="F59" s="128">
        <f t="shared" si="2"/>
        <v>-270</v>
      </c>
      <c r="G59" s="129">
        <f t="shared" si="3"/>
        <v>0</v>
      </c>
    </row>
    <row r="60" spans="1:7" s="76" customFormat="1" ht="29.25" customHeight="1">
      <c r="A60" s="117" t="s">
        <v>450</v>
      </c>
      <c r="B60" s="135"/>
      <c r="C60" s="136"/>
      <c r="D60" s="68">
        <v>2644.9</v>
      </c>
      <c r="E60" s="136"/>
      <c r="F60" s="128">
        <f t="shared" si="2"/>
        <v>-2644.9</v>
      </c>
      <c r="G60" s="129">
        <f t="shared" si="3"/>
        <v>0</v>
      </c>
    </row>
    <row r="61" spans="1:7" s="76" customFormat="1" ht="27" customHeight="1">
      <c r="A61" s="70" t="s">
        <v>451</v>
      </c>
      <c r="B61" s="135"/>
      <c r="C61" s="136"/>
      <c r="D61" s="68">
        <v>1210.4000000000001</v>
      </c>
      <c r="E61" s="136"/>
      <c r="F61" s="128">
        <f t="shared" si="2"/>
        <v>-1210.4000000000001</v>
      </c>
      <c r="G61" s="129">
        <f t="shared" si="3"/>
        <v>0</v>
      </c>
    </row>
    <row r="62" spans="1:7" s="76" customFormat="1" ht="45" customHeight="1">
      <c r="A62" s="71" t="s">
        <v>452</v>
      </c>
      <c r="B62" s="135"/>
      <c r="C62" s="136"/>
      <c r="D62" s="68">
        <v>118</v>
      </c>
      <c r="E62" s="136"/>
      <c r="F62" s="128">
        <f t="shared" si="2"/>
        <v>-118</v>
      </c>
      <c r="G62" s="129">
        <f t="shared" si="3"/>
        <v>0</v>
      </c>
    </row>
    <row r="63" spans="1:7" s="76" customFormat="1" ht="45" customHeight="1">
      <c r="A63" s="117" t="s">
        <v>453</v>
      </c>
      <c r="B63" s="135"/>
      <c r="C63" s="136"/>
      <c r="D63" s="68">
        <v>112</v>
      </c>
      <c r="E63" s="136"/>
      <c r="F63" s="128">
        <f t="shared" si="2"/>
        <v>-112</v>
      </c>
      <c r="G63" s="129">
        <f t="shared" si="3"/>
        <v>0</v>
      </c>
    </row>
    <row r="64" spans="1:7" s="76" customFormat="1" ht="30" customHeight="1">
      <c r="A64" s="72" t="s">
        <v>454</v>
      </c>
      <c r="B64" s="135"/>
      <c r="C64" s="136"/>
      <c r="D64" s="68">
        <v>51</v>
      </c>
      <c r="E64" s="136"/>
      <c r="F64" s="128">
        <f t="shared" si="2"/>
        <v>-51</v>
      </c>
      <c r="G64" s="129">
        <f t="shared" si="3"/>
        <v>0</v>
      </c>
    </row>
    <row r="65" spans="1:7" s="76" customFormat="1" ht="23.25" customHeight="1">
      <c r="A65" s="71" t="s">
        <v>455</v>
      </c>
      <c r="B65" s="135"/>
      <c r="C65" s="136"/>
      <c r="D65" s="68">
        <v>199.7</v>
      </c>
      <c r="E65" s="136"/>
      <c r="F65" s="128">
        <f t="shared" si="2"/>
        <v>-199.7</v>
      </c>
      <c r="G65" s="129">
        <f t="shared" si="3"/>
        <v>0</v>
      </c>
    </row>
    <row r="66" spans="1:7" s="76" customFormat="1" ht="45" customHeight="1">
      <c r="A66" s="72" t="s">
        <v>456</v>
      </c>
      <c r="B66" s="135"/>
      <c r="C66" s="136"/>
      <c r="D66" s="68">
        <v>177.5</v>
      </c>
      <c r="E66" s="136"/>
      <c r="F66" s="128">
        <f t="shared" si="2"/>
        <v>-177.5</v>
      </c>
      <c r="G66" s="129">
        <f t="shared" si="3"/>
        <v>0</v>
      </c>
    </row>
    <row r="67" spans="1:7" s="76" customFormat="1" ht="33" customHeight="1">
      <c r="A67" s="117" t="s">
        <v>457</v>
      </c>
      <c r="B67" s="135"/>
      <c r="C67" s="136"/>
      <c r="D67" s="68">
        <v>270</v>
      </c>
      <c r="E67" s="136"/>
      <c r="F67" s="128">
        <f t="shared" si="2"/>
        <v>-270</v>
      </c>
      <c r="G67" s="129">
        <f t="shared" si="3"/>
        <v>0</v>
      </c>
    </row>
    <row r="68" spans="1:7" s="76" customFormat="1" ht="27.75" customHeight="1">
      <c r="A68" s="71" t="s">
        <v>458</v>
      </c>
      <c r="B68" s="135"/>
      <c r="C68" s="136"/>
      <c r="D68" s="68">
        <v>116</v>
      </c>
      <c r="E68" s="136"/>
      <c r="F68" s="128">
        <f t="shared" si="2"/>
        <v>-116</v>
      </c>
      <c r="G68" s="129">
        <f t="shared" si="3"/>
        <v>0</v>
      </c>
    </row>
    <row r="69" spans="1:7" s="76" customFormat="1" ht="26.25" customHeight="1">
      <c r="A69" s="117" t="s">
        <v>459</v>
      </c>
      <c r="B69" s="135"/>
      <c r="C69" s="136"/>
      <c r="D69" s="68">
        <v>57.4</v>
      </c>
      <c r="E69" s="136"/>
      <c r="F69" s="128">
        <f t="shared" si="2"/>
        <v>-57.4</v>
      </c>
      <c r="G69" s="129">
        <f t="shared" si="3"/>
        <v>0</v>
      </c>
    </row>
    <row r="70" spans="1:7" s="76" customFormat="1" ht="32.25" customHeight="1">
      <c r="A70" s="117" t="s">
        <v>460</v>
      </c>
      <c r="B70" s="135"/>
      <c r="C70" s="136"/>
      <c r="D70" s="68">
        <v>116.5</v>
      </c>
      <c r="E70" s="136"/>
      <c r="F70" s="128">
        <f t="shared" si="2"/>
        <v>-116.5</v>
      </c>
      <c r="G70" s="129">
        <f t="shared" si="3"/>
        <v>0</v>
      </c>
    </row>
    <row r="71" spans="1:7" s="76" customFormat="1" ht="45" customHeight="1">
      <c r="A71" s="117" t="s">
        <v>461</v>
      </c>
      <c r="B71" s="135"/>
      <c r="C71" s="136"/>
      <c r="D71" s="68">
        <v>1700</v>
      </c>
      <c r="E71" s="136"/>
      <c r="F71" s="128">
        <f t="shared" si="2"/>
        <v>-1700</v>
      </c>
      <c r="G71" s="129">
        <f t="shared" si="3"/>
        <v>0</v>
      </c>
    </row>
    <row r="72" spans="1:7" s="76" customFormat="1" ht="29.25" customHeight="1">
      <c r="A72" s="160" t="s">
        <v>462</v>
      </c>
      <c r="B72" s="135"/>
      <c r="C72" s="136"/>
      <c r="D72" s="68">
        <v>620</v>
      </c>
      <c r="E72" s="136"/>
      <c r="F72" s="128">
        <f t="shared" si="2"/>
        <v>-620</v>
      </c>
      <c r="G72" s="129">
        <f t="shared" si="3"/>
        <v>0</v>
      </c>
    </row>
    <row r="73" spans="1:7" s="76" customFormat="1" ht="29.25" customHeight="1">
      <c r="A73" s="160" t="s">
        <v>463</v>
      </c>
      <c r="B73" s="135"/>
      <c r="C73" s="136"/>
      <c r="D73" s="68">
        <v>118.9</v>
      </c>
      <c r="E73" s="136"/>
      <c r="F73" s="128">
        <f t="shared" si="2"/>
        <v>-118.9</v>
      </c>
      <c r="G73" s="129">
        <f t="shared" si="3"/>
        <v>0</v>
      </c>
    </row>
    <row r="74" spans="1:7" s="76" customFormat="1" ht="27" customHeight="1">
      <c r="A74" s="72" t="s">
        <v>464</v>
      </c>
      <c r="B74" s="135"/>
      <c r="C74" s="136"/>
      <c r="D74" s="68">
        <v>120</v>
      </c>
      <c r="E74" s="136"/>
      <c r="F74" s="128">
        <f t="shared" si="2"/>
        <v>-120</v>
      </c>
      <c r="G74" s="129">
        <f t="shared" si="3"/>
        <v>0</v>
      </c>
    </row>
    <row r="75" spans="1:7" s="76" customFormat="1" ht="45" customHeight="1">
      <c r="A75" s="73" t="s">
        <v>465</v>
      </c>
      <c r="B75" s="135"/>
      <c r="C75" s="136"/>
      <c r="D75" s="68">
        <v>378</v>
      </c>
      <c r="E75" s="136"/>
      <c r="F75" s="128">
        <f t="shared" si="2"/>
        <v>-378</v>
      </c>
      <c r="G75" s="129">
        <f t="shared" si="3"/>
        <v>0</v>
      </c>
    </row>
    <row r="76" spans="1:7" s="76" customFormat="1" ht="45" customHeight="1">
      <c r="A76" s="73" t="s">
        <v>466</v>
      </c>
      <c r="B76" s="135"/>
      <c r="C76" s="136"/>
      <c r="D76" s="68">
        <v>130</v>
      </c>
      <c r="E76" s="136"/>
      <c r="F76" s="128">
        <f t="shared" si="2"/>
        <v>-130</v>
      </c>
      <c r="G76" s="129">
        <f t="shared" si="3"/>
        <v>0</v>
      </c>
    </row>
    <row r="77" spans="1:7" s="76" customFormat="1" ht="33.75" customHeight="1">
      <c r="A77" s="72" t="s">
        <v>467</v>
      </c>
      <c r="B77" s="135"/>
      <c r="C77" s="136"/>
      <c r="D77" s="68">
        <v>140</v>
      </c>
      <c r="E77" s="136"/>
      <c r="F77" s="128">
        <f t="shared" si="2"/>
        <v>-140</v>
      </c>
      <c r="G77" s="129">
        <f t="shared" si="3"/>
        <v>0</v>
      </c>
    </row>
    <row r="78" spans="1:7" s="76" customFormat="1" ht="30.75" customHeight="1">
      <c r="A78" s="72" t="s">
        <v>468</v>
      </c>
      <c r="B78" s="135"/>
      <c r="C78" s="136"/>
      <c r="D78" s="68">
        <v>194.1</v>
      </c>
      <c r="E78" s="136"/>
      <c r="F78" s="128">
        <f t="shared" si="2"/>
        <v>-194.1</v>
      </c>
      <c r="G78" s="129">
        <f t="shared" si="3"/>
        <v>0</v>
      </c>
    </row>
    <row r="79" spans="1:7" s="76" customFormat="1" ht="27.75" customHeight="1">
      <c r="A79" s="65" t="s">
        <v>561</v>
      </c>
      <c r="B79" s="135"/>
      <c r="C79" s="136"/>
      <c r="D79" s="68"/>
      <c r="E79" s="68">
        <v>363.1</v>
      </c>
      <c r="F79" s="128">
        <f t="shared" si="2"/>
        <v>363.1</v>
      </c>
      <c r="G79" s="164" t="e">
        <f t="shared" si="3"/>
        <v>#DIV/0!</v>
      </c>
    </row>
    <row r="80" spans="1:7" s="76" customFormat="1" ht="45" customHeight="1">
      <c r="A80" s="45" t="s">
        <v>562</v>
      </c>
      <c r="B80" s="135"/>
      <c r="C80" s="136"/>
      <c r="D80" s="68"/>
      <c r="E80" s="68">
        <v>118.8</v>
      </c>
      <c r="F80" s="128">
        <f t="shared" si="2"/>
        <v>118.8</v>
      </c>
      <c r="G80" s="164" t="e">
        <f t="shared" si="3"/>
        <v>#DIV/0!</v>
      </c>
    </row>
    <row r="81" spans="1:7" s="76" customFormat="1" ht="31.5" customHeight="1">
      <c r="A81" s="65" t="s">
        <v>533</v>
      </c>
      <c r="B81" s="135"/>
      <c r="C81" s="136"/>
      <c r="D81" s="68"/>
      <c r="E81" s="68">
        <v>213.9</v>
      </c>
      <c r="F81" s="128">
        <f t="shared" si="2"/>
        <v>213.9</v>
      </c>
      <c r="G81" s="164" t="e">
        <f t="shared" si="3"/>
        <v>#DIV/0!</v>
      </c>
    </row>
    <row r="82" spans="1:7" s="76" customFormat="1" ht="45" customHeight="1">
      <c r="A82" s="45" t="s">
        <v>534</v>
      </c>
      <c r="B82" s="135"/>
      <c r="C82" s="136"/>
      <c r="D82" s="68"/>
      <c r="E82" s="68">
        <v>378.5</v>
      </c>
      <c r="F82" s="128">
        <f t="shared" si="2"/>
        <v>378.5</v>
      </c>
      <c r="G82" s="164" t="e">
        <f t="shared" si="3"/>
        <v>#DIV/0!</v>
      </c>
    </row>
    <row r="83" spans="1:7" s="76" customFormat="1" ht="45" customHeight="1">
      <c r="A83" s="45" t="s">
        <v>560</v>
      </c>
      <c r="B83" s="135"/>
      <c r="C83" s="136"/>
      <c r="D83" s="68"/>
      <c r="E83" s="68">
        <v>1015.2</v>
      </c>
      <c r="F83" s="128">
        <f t="shared" si="2"/>
        <v>1015.2</v>
      </c>
      <c r="G83" s="164" t="e">
        <f t="shared" si="3"/>
        <v>#DIV/0!</v>
      </c>
    </row>
    <row r="84" spans="1:7" s="76" customFormat="1" ht="45" customHeight="1">
      <c r="A84" s="45" t="s">
        <v>563</v>
      </c>
      <c r="B84" s="135"/>
      <c r="C84" s="136"/>
      <c r="D84" s="68"/>
      <c r="E84" s="68">
        <v>102.4</v>
      </c>
      <c r="F84" s="128">
        <f t="shared" si="2"/>
        <v>102.4</v>
      </c>
      <c r="G84" s="164" t="e">
        <f t="shared" si="3"/>
        <v>#DIV/0!</v>
      </c>
    </row>
    <row r="85" spans="1:7" s="76" customFormat="1" ht="45" customHeight="1">
      <c r="A85" s="45" t="s">
        <v>564</v>
      </c>
      <c r="B85" s="135"/>
      <c r="C85" s="136"/>
      <c r="D85" s="68"/>
      <c r="E85" s="68">
        <v>21.9</v>
      </c>
      <c r="F85" s="128">
        <f t="shared" si="2"/>
        <v>21.9</v>
      </c>
      <c r="G85" s="164" t="e">
        <f t="shared" si="3"/>
        <v>#DIV/0!</v>
      </c>
    </row>
    <row r="86" spans="1:7" s="76" customFormat="1" ht="39.75" customHeight="1">
      <c r="A86" s="45" t="s">
        <v>535</v>
      </c>
      <c r="B86" s="135"/>
      <c r="C86" s="136"/>
      <c r="D86" s="68"/>
      <c r="E86" s="68">
        <v>29.2</v>
      </c>
      <c r="F86" s="128">
        <f t="shared" si="2"/>
        <v>29.2</v>
      </c>
      <c r="G86" s="164" t="e">
        <f t="shared" si="3"/>
        <v>#DIV/0!</v>
      </c>
    </row>
    <row r="87" spans="1:7" s="76" customFormat="1" ht="27" customHeight="1">
      <c r="A87" s="65" t="s">
        <v>536</v>
      </c>
      <c r="B87" s="135"/>
      <c r="C87" s="136"/>
      <c r="D87" s="68"/>
      <c r="E87" s="68">
        <v>20.100000000000001</v>
      </c>
      <c r="F87" s="128">
        <f t="shared" si="2"/>
        <v>20.100000000000001</v>
      </c>
      <c r="G87" s="164" t="e">
        <f t="shared" si="3"/>
        <v>#DIV/0!</v>
      </c>
    </row>
    <row r="88" spans="1:7" s="76" customFormat="1" ht="45" customHeight="1">
      <c r="A88" s="45" t="s">
        <v>537</v>
      </c>
      <c r="B88" s="135"/>
      <c r="C88" s="136"/>
      <c r="D88" s="68"/>
      <c r="E88" s="68">
        <v>68.400000000000006</v>
      </c>
      <c r="F88" s="128">
        <f t="shared" si="2"/>
        <v>68.400000000000006</v>
      </c>
      <c r="G88" s="164" t="e">
        <f t="shared" si="3"/>
        <v>#DIV/0!</v>
      </c>
    </row>
    <row r="89" spans="1:7" s="76" customFormat="1" ht="45" customHeight="1">
      <c r="A89" s="45" t="s">
        <v>538</v>
      </c>
      <c r="B89" s="135"/>
      <c r="C89" s="136"/>
      <c r="D89" s="68"/>
      <c r="E89" s="68">
        <v>116.2</v>
      </c>
      <c r="F89" s="128">
        <f t="shared" si="2"/>
        <v>116.2</v>
      </c>
      <c r="G89" s="164" t="e">
        <f t="shared" si="3"/>
        <v>#DIV/0!</v>
      </c>
    </row>
    <row r="90" spans="1:7" s="76" customFormat="1" ht="26.25" customHeight="1">
      <c r="A90" s="65" t="s">
        <v>539</v>
      </c>
      <c r="B90" s="135"/>
      <c r="C90" s="136"/>
      <c r="D90" s="68"/>
      <c r="E90" s="68">
        <v>133</v>
      </c>
      <c r="F90" s="128">
        <f t="shared" si="2"/>
        <v>133</v>
      </c>
      <c r="G90" s="164" t="e">
        <f t="shared" si="3"/>
        <v>#DIV/0!</v>
      </c>
    </row>
    <row r="91" spans="1:7" s="76" customFormat="1" ht="45" customHeight="1">
      <c r="A91" s="45" t="s">
        <v>540</v>
      </c>
      <c r="B91" s="135"/>
      <c r="C91" s="136"/>
      <c r="D91" s="68"/>
      <c r="E91" s="68">
        <v>78.900000000000006</v>
      </c>
      <c r="F91" s="128">
        <f t="shared" si="2"/>
        <v>78.900000000000006</v>
      </c>
      <c r="G91" s="164" t="e">
        <f t="shared" si="3"/>
        <v>#DIV/0!</v>
      </c>
    </row>
    <row r="92" spans="1:7" s="76" customFormat="1" ht="24" customHeight="1">
      <c r="A92" s="45" t="s">
        <v>541</v>
      </c>
      <c r="B92" s="135"/>
      <c r="C92" s="136"/>
      <c r="D92" s="68"/>
      <c r="E92" s="68">
        <v>80</v>
      </c>
      <c r="F92" s="128">
        <f t="shared" si="2"/>
        <v>80</v>
      </c>
      <c r="G92" s="164" t="e">
        <f t="shared" si="3"/>
        <v>#DIV/0!</v>
      </c>
    </row>
    <row r="93" spans="1:7" s="76" customFormat="1" ht="45" customHeight="1">
      <c r="A93" s="45" t="s">
        <v>543</v>
      </c>
      <c r="B93" s="135"/>
      <c r="C93" s="136"/>
      <c r="D93" s="68"/>
      <c r="E93" s="68">
        <v>32.200000000000003</v>
      </c>
      <c r="F93" s="128">
        <f t="shared" si="2"/>
        <v>32.200000000000003</v>
      </c>
      <c r="G93" s="164" t="e">
        <f t="shared" si="3"/>
        <v>#DIV/0!</v>
      </c>
    </row>
    <row r="94" spans="1:7" s="76" customFormat="1" ht="27" customHeight="1">
      <c r="A94" s="45" t="s">
        <v>544</v>
      </c>
      <c r="B94" s="135"/>
      <c r="C94" s="136"/>
      <c r="D94" s="68"/>
      <c r="E94" s="68">
        <v>225</v>
      </c>
      <c r="F94" s="128">
        <f t="shared" si="2"/>
        <v>225</v>
      </c>
      <c r="G94" s="164" t="e">
        <f t="shared" si="3"/>
        <v>#DIV/0!</v>
      </c>
    </row>
    <row r="95" spans="1:7" s="76" customFormat="1" ht="45" customHeight="1">
      <c r="A95" s="45" t="s">
        <v>545</v>
      </c>
      <c r="B95" s="135"/>
      <c r="C95" s="136"/>
      <c r="D95" s="68"/>
      <c r="E95" s="68">
        <v>7896.6</v>
      </c>
      <c r="F95" s="128">
        <f t="shared" si="2"/>
        <v>7896.6</v>
      </c>
      <c r="G95" s="164" t="e">
        <f t="shared" si="3"/>
        <v>#DIV/0!</v>
      </c>
    </row>
    <row r="96" spans="1:7" s="76" customFormat="1" ht="24.75" customHeight="1">
      <c r="A96" s="168" t="s">
        <v>546</v>
      </c>
      <c r="B96" s="135"/>
      <c r="C96" s="136"/>
      <c r="D96" s="68"/>
      <c r="E96" s="68">
        <v>16.2</v>
      </c>
      <c r="F96" s="128">
        <f t="shared" si="2"/>
        <v>16.2</v>
      </c>
      <c r="G96" s="164" t="e">
        <f t="shared" si="3"/>
        <v>#DIV/0!</v>
      </c>
    </row>
    <row r="97" spans="1:7" s="76" customFormat="1" ht="56.25" customHeight="1">
      <c r="A97" s="45" t="s">
        <v>547</v>
      </c>
      <c r="B97" s="135"/>
      <c r="C97" s="136"/>
      <c r="D97" s="68"/>
      <c r="E97" s="68">
        <v>218.2</v>
      </c>
      <c r="F97" s="128">
        <f t="shared" si="2"/>
        <v>218.2</v>
      </c>
      <c r="G97" s="164" t="e">
        <f t="shared" si="3"/>
        <v>#DIV/0!</v>
      </c>
    </row>
    <row r="98" spans="1:7" s="76" customFormat="1" ht="26.25" customHeight="1">
      <c r="A98" s="65" t="s">
        <v>548</v>
      </c>
      <c r="B98" s="135"/>
      <c r="C98" s="136"/>
      <c r="D98" s="68"/>
      <c r="E98" s="68">
        <v>54.7</v>
      </c>
      <c r="F98" s="128">
        <f t="shared" si="2"/>
        <v>54.7</v>
      </c>
      <c r="G98" s="164" t="e">
        <f t="shared" si="3"/>
        <v>#DIV/0!</v>
      </c>
    </row>
    <row r="99" spans="1:7" s="76" customFormat="1" ht="29.25" customHeight="1">
      <c r="A99" s="65" t="s">
        <v>549</v>
      </c>
      <c r="B99" s="135"/>
      <c r="C99" s="136"/>
      <c r="D99" s="68"/>
      <c r="E99" s="68">
        <v>3225.2</v>
      </c>
      <c r="F99" s="128">
        <f t="shared" si="2"/>
        <v>3225.2</v>
      </c>
      <c r="G99" s="164" t="e">
        <f t="shared" si="3"/>
        <v>#DIV/0!</v>
      </c>
    </row>
    <row r="100" spans="1:7" s="76" customFormat="1" ht="24" customHeight="1">
      <c r="A100" s="65" t="s">
        <v>550</v>
      </c>
      <c r="B100" s="135"/>
      <c r="C100" s="136"/>
      <c r="D100" s="68"/>
      <c r="E100" s="68">
        <v>29.1</v>
      </c>
      <c r="F100" s="128">
        <f t="shared" si="2"/>
        <v>29.1</v>
      </c>
      <c r="G100" s="164" t="e">
        <f t="shared" si="3"/>
        <v>#DIV/0!</v>
      </c>
    </row>
    <row r="101" spans="1:7" s="76" customFormat="1" ht="30.75" customHeight="1">
      <c r="A101" s="65" t="s">
        <v>551</v>
      </c>
      <c r="B101" s="135"/>
      <c r="C101" s="136"/>
      <c r="D101" s="68"/>
      <c r="E101" s="68">
        <v>1495.1</v>
      </c>
      <c r="F101" s="128">
        <f t="shared" si="2"/>
        <v>1495.1</v>
      </c>
      <c r="G101" s="164" t="e">
        <f t="shared" si="3"/>
        <v>#DIV/0!</v>
      </c>
    </row>
    <row r="102" spans="1:7" s="76" customFormat="1" ht="33" customHeight="1">
      <c r="A102" s="65" t="s">
        <v>552</v>
      </c>
      <c r="B102" s="135"/>
      <c r="C102" s="136"/>
      <c r="D102" s="68"/>
      <c r="E102" s="68">
        <v>242.5</v>
      </c>
      <c r="F102" s="128">
        <f t="shared" si="2"/>
        <v>242.5</v>
      </c>
      <c r="G102" s="164" t="e">
        <f t="shared" si="3"/>
        <v>#DIV/0!</v>
      </c>
    </row>
    <row r="103" spans="1:7" s="76" customFormat="1" ht="25.5" customHeight="1">
      <c r="A103" s="65" t="s">
        <v>553</v>
      </c>
      <c r="B103" s="135"/>
      <c r="C103" s="136"/>
      <c r="D103" s="68"/>
      <c r="E103" s="68">
        <v>242.5</v>
      </c>
      <c r="F103" s="128">
        <f t="shared" si="2"/>
        <v>242.5</v>
      </c>
      <c r="G103" s="164" t="e">
        <f t="shared" si="3"/>
        <v>#DIV/0!</v>
      </c>
    </row>
    <row r="104" spans="1:7" s="76" customFormat="1" ht="45" customHeight="1">
      <c r="A104" s="45" t="s">
        <v>554</v>
      </c>
      <c r="B104" s="135"/>
      <c r="C104" s="136"/>
      <c r="D104" s="68"/>
      <c r="E104" s="68">
        <v>60.7</v>
      </c>
      <c r="F104" s="128">
        <f t="shared" si="2"/>
        <v>60.7</v>
      </c>
      <c r="G104" s="164" t="e">
        <f t="shared" si="3"/>
        <v>#DIV/0!</v>
      </c>
    </row>
    <row r="105" spans="1:7" s="76" customFormat="1" ht="30.75" customHeight="1">
      <c r="A105" s="65" t="s">
        <v>555</v>
      </c>
      <c r="B105" s="135"/>
      <c r="C105" s="136"/>
      <c r="D105" s="68"/>
      <c r="E105" s="68">
        <v>519.29999999999995</v>
      </c>
      <c r="F105" s="128">
        <f t="shared" si="2"/>
        <v>519.29999999999995</v>
      </c>
      <c r="G105" s="164" t="e">
        <f t="shared" si="3"/>
        <v>#DIV/0!</v>
      </c>
    </row>
    <row r="106" spans="1:7" s="76" customFormat="1" ht="78.75" customHeight="1">
      <c r="A106" s="45" t="s">
        <v>556</v>
      </c>
      <c r="B106" s="135"/>
      <c r="C106" s="136"/>
      <c r="D106" s="68"/>
      <c r="E106" s="68">
        <v>170.4</v>
      </c>
      <c r="F106" s="128">
        <f t="shared" si="2"/>
        <v>170.4</v>
      </c>
      <c r="G106" s="164" t="e">
        <f t="shared" si="3"/>
        <v>#DIV/0!</v>
      </c>
    </row>
    <row r="107" spans="1:7" s="76" customFormat="1" ht="29.25" customHeight="1">
      <c r="A107" s="65" t="s">
        <v>557</v>
      </c>
      <c r="B107" s="135"/>
      <c r="C107" s="136"/>
      <c r="D107" s="68"/>
      <c r="E107" s="68">
        <v>939.8</v>
      </c>
      <c r="F107" s="128">
        <f t="shared" si="2"/>
        <v>939.8</v>
      </c>
      <c r="G107" s="164" t="e">
        <f t="shared" si="3"/>
        <v>#DIV/0!</v>
      </c>
    </row>
    <row r="108" spans="1:7" s="76" customFormat="1" ht="29.25" customHeight="1">
      <c r="A108" s="65" t="s">
        <v>558</v>
      </c>
      <c r="B108" s="135"/>
      <c r="C108" s="136"/>
      <c r="D108" s="68"/>
      <c r="E108" s="68">
        <v>2980</v>
      </c>
      <c r="F108" s="128">
        <f t="shared" si="2"/>
        <v>2980</v>
      </c>
      <c r="G108" s="164" t="e">
        <f t="shared" si="3"/>
        <v>#DIV/0!</v>
      </c>
    </row>
    <row r="109" spans="1:7" s="76" customFormat="1" ht="32.25" customHeight="1">
      <c r="A109" s="65" t="s">
        <v>559</v>
      </c>
      <c r="B109" s="135"/>
      <c r="C109" s="136"/>
      <c r="D109" s="68"/>
      <c r="E109" s="64">
        <v>220.5</v>
      </c>
      <c r="F109" s="128">
        <f t="shared" si="2"/>
        <v>220.5</v>
      </c>
      <c r="G109" s="164" t="e">
        <f t="shared" si="3"/>
        <v>#DIV/0!</v>
      </c>
    </row>
    <row r="110" spans="1:7" s="76" customFormat="1" ht="22.5" customHeight="1">
      <c r="A110" s="65" t="s">
        <v>217</v>
      </c>
      <c r="B110" s="135"/>
      <c r="C110" s="136"/>
      <c r="D110" s="68"/>
      <c r="E110" s="64">
        <v>162.5</v>
      </c>
      <c r="F110" s="128">
        <f t="shared" si="2"/>
        <v>162.5</v>
      </c>
      <c r="G110" s="164" t="e">
        <f t="shared" si="3"/>
        <v>#DIV/0!</v>
      </c>
    </row>
    <row r="111" spans="1:7" s="76" customFormat="1" ht="26.25" customHeight="1">
      <c r="A111" s="84" t="s">
        <v>318</v>
      </c>
      <c r="B111" s="135"/>
      <c r="C111" s="136"/>
      <c r="D111" s="68"/>
      <c r="E111" s="64">
        <v>103.9</v>
      </c>
      <c r="F111" s="128">
        <f t="shared" si="2"/>
        <v>103.9</v>
      </c>
      <c r="G111" s="164" t="e">
        <f t="shared" si="3"/>
        <v>#DIV/0!</v>
      </c>
    </row>
    <row r="112" spans="1:7" s="76" customFormat="1" ht="45" customHeight="1">
      <c r="A112" s="74" t="s">
        <v>319</v>
      </c>
      <c r="B112" s="135"/>
      <c r="C112" s="136"/>
      <c r="D112" s="68"/>
      <c r="E112" s="64">
        <v>158.6</v>
      </c>
      <c r="F112" s="128">
        <f t="shared" si="2"/>
        <v>158.6</v>
      </c>
      <c r="G112" s="164" t="e">
        <f t="shared" si="3"/>
        <v>#DIV/0!</v>
      </c>
    </row>
    <row r="113" spans="1:7" s="76" customFormat="1" ht="26.25" customHeight="1">
      <c r="A113" s="167" t="s">
        <v>320</v>
      </c>
      <c r="B113" s="135"/>
      <c r="C113" s="136"/>
      <c r="D113" s="68"/>
      <c r="E113" s="64">
        <v>50.4</v>
      </c>
      <c r="F113" s="128">
        <f t="shared" si="2"/>
        <v>50.4</v>
      </c>
      <c r="G113" s="164" t="e">
        <f t="shared" si="3"/>
        <v>#DIV/0!</v>
      </c>
    </row>
    <row r="114" spans="1:7" s="76" customFormat="1" ht="30.75" customHeight="1">
      <c r="A114" s="167" t="s">
        <v>332</v>
      </c>
      <c r="B114" s="135"/>
      <c r="C114" s="136"/>
      <c r="D114" s="68"/>
      <c r="E114" s="64">
        <v>2022.6</v>
      </c>
      <c r="F114" s="128">
        <f t="shared" si="2"/>
        <v>2022.6</v>
      </c>
      <c r="G114" s="164" t="e">
        <f t="shared" si="3"/>
        <v>#DIV/0!</v>
      </c>
    </row>
    <row r="115" spans="1:7" s="76" customFormat="1" ht="30.75" customHeight="1">
      <c r="A115" s="167" t="s">
        <v>333</v>
      </c>
      <c r="B115" s="135"/>
      <c r="C115" s="136"/>
      <c r="D115" s="68"/>
      <c r="E115" s="64">
        <v>455.4</v>
      </c>
      <c r="F115" s="128">
        <f t="shared" si="2"/>
        <v>455.4</v>
      </c>
      <c r="G115" s="164" t="e">
        <f t="shared" si="3"/>
        <v>#DIV/0!</v>
      </c>
    </row>
    <row r="116" spans="1:7" s="76" customFormat="1" ht="30.75" customHeight="1">
      <c r="A116" s="83" t="s">
        <v>334</v>
      </c>
      <c r="B116" s="135"/>
      <c r="C116" s="136"/>
      <c r="D116" s="68"/>
      <c r="E116" s="64">
        <v>235.3</v>
      </c>
      <c r="F116" s="128">
        <f t="shared" si="2"/>
        <v>235.3</v>
      </c>
      <c r="G116" s="164" t="e">
        <f t="shared" si="3"/>
        <v>#DIV/0!</v>
      </c>
    </row>
    <row r="117" spans="1:7" s="76" customFormat="1" ht="45" customHeight="1">
      <c r="A117" s="74" t="s">
        <v>335</v>
      </c>
      <c r="B117" s="135"/>
      <c r="C117" s="136"/>
      <c r="D117" s="68"/>
      <c r="E117" s="64">
        <v>307.5</v>
      </c>
      <c r="F117" s="128">
        <f t="shared" si="2"/>
        <v>307.5</v>
      </c>
      <c r="G117" s="164" t="e">
        <f t="shared" si="3"/>
        <v>#DIV/0!</v>
      </c>
    </row>
    <row r="118" spans="1:7" s="76" customFormat="1" ht="45" customHeight="1">
      <c r="A118" s="74" t="s">
        <v>362</v>
      </c>
      <c r="B118" s="135"/>
      <c r="C118" s="136"/>
      <c r="D118" s="68"/>
      <c r="E118" s="64">
        <v>45.7</v>
      </c>
      <c r="F118" s="128">
        <f t="shared" si="2"/>
        <v>45.7</v>
      </c>
      <c r="G118" s="164" t="e">
        <f t="shared" si="3"/>
        <v>#DIV/0!</v>
      </c>
    </row>
    <row r="119" spans="1:7" s="76" customFormat="1" ht="29.25" customHeight="1">
      <c r="A119" s="167" t="s">
        <v>363</v>
      </c>
      <c r="B119" s="135"/>
      <c r="C119" s="136"/>
      <c r="D119" s="68"/>
      <c r="E119" s="64">
        <v>106.1</v>
      </c>
      <c r="F119" s="128">
        <f t="shared" si="2"/>
        <v>106.1</v>
      </c>
      <c r="G119" s="164" t="e">
        <f t="shared" si="3"/>
        <v>#DIV/0!</v>
      </c>
    </row>
    <row r="120" spans="1:7" s="76" customFormat="1" ht="40.5" customHeight="1">
      <c r="A120" s="74" t="s">
        <v>364</v>
      </c>
      <c r="B120" s="135"/>
      <c r="C120" s="136"/>
      <c r="D120" s="68"/>
      <c r="E120" s="64">
        <v>341.1</v>
      </c>
      <c r="F120" s="128">
        <f t="shared" si="2"/>
        <v>341.1</v>
      </c>
      <c r="G120" s="164" t="e">
        <f t="shared" si="3"/>
        <v>#DIV/0!</v>
      </c>
    </row>
    <row r="121" spans="1:7" s="76" customFormat="1" ht="29.25" customHeight="1">
      <c r="A121" s="167" t="s">
        <v>397</v>
      </c>
      <c r="B121" s="135"/>
      <c r="C121" s="136"/>
      <c r="D121" s="68"/>
      <c r="E121" s="64">
        <v>3650</v>
      </c>
      <c r="F121" s="128">
        <f t="shared" si="2"/>
        <v>3650</v>
      </c>
      <c r="G121" s="164" t="e">
        <f t="shared" si="3"/>
        <v>#DIV/0!</v>
      </c>
    </row>
    <row r="122" spans="1:7" s="76" customFormat="1" ht="34.5" customHeight="1">
      <c r="A122" s="167" t="s">
        <v>398</v>
      </c>
      <c r="B122" s="135"/>
      <c r="C122" s="136"/>
      <c r="D122" s="68"/>
      <c r="E122" s="64">
        <v>290</v>
      </c>
      <c r="F122" s="128">
        <f t="shared" si="2"/>
        <v>290</v>
      </c>
      <c r="G122" s="164" t="e">
        <f t="shared" si="3"/>
        <v>#DIV/0!</v>
      </c>
    </row>
    <row r="123" spans="1:7" s="76" customFormat="1" ht="27" customHeight="1">
      <c r="A123" s="167" t="s">
        <v>399</v>
      </c>
      <c r="B123" s="135"/>
      <c r="C123" s="136"/>
      <c r="D123" s="68"/>
      <c r="E123" s="64">
        <v>46</v>
      </c>
      <c r="F123" s="128">
        <f t="shared" si="2"/>
        <v>46</v>
      </c>
      <c r="G123" s="164" t="e">
        <f t="shared" si="3"/>
        <v>#DIV/0!</v>
      </c>
    </row>
    <row r="124" spans="1:7" s="76" customFormat="1" ht="29.25" customHeight="1">
      <c r="A124" s="167" t="s">
        <v>399</v>
      </c>
      <c r="B124" s="135"/>
      <c r="C124" s="136"/>
      <c r="D124" s="68"/>
      <c r="E124" s="64">
        <v>40</v>
      </c>
      <c r="F124" s="128">
        <f t="shared" si="2"/>
        <v>40</v>
      </c>
      <c r="G124" s="164" t="e">
        <f t="shared" si="3"/>
        <v>#DIV/0!</v>
      </c>
    </row>
    <row r="125" spans="1:7" s="76" customFormat="1" ht="45" customHeight="1">
      <c r="A125" s="74" t="s">
        <v>400</v>
      </c>
      <c r="B125" s="135"/>
      <c r="C125" s="136"/>
      <c r="D125" s="68"/>
      <c r="E125" s="64">
        <v>911.8</v>
      </c>
      <c r="F125" s="128">
        <f t="shared" si="2"/>
        <v>911.8</v>
      </c>
      <c r="G125" s="164" t="e">
        <f t="shared" si="3"/>
        <v>#DIV/0!</v>
      </c>
    </row>
    <row r="126" spans="1:7" s="76" customFormat="1" ht="39" customHeight="1">
      <c r="A126" s="130" t="s">
        <v>648</v>
      </c>
      <c r="B126" s="145">
        <v>3267</v>
      </c>
      <c r="C126" s="136">
        <f>SUM(C127:C238)</f>
        <v>297.7</v>
      </c>
      <c r="D126" s="136">
        <f>SUM(D127:D238)</f>
        <v>0</v>
      </c>
      <c r="E126" s="136">
        <f>SUM(E127:E238)</f>
        <v>660.3000000000003</v>
      </c>
      <c r="F126" s="136">
        <f t="shared" si="2"/>
        <v>660.3000000000003</v>
      </c>
      <c r="G126" s="166" t="e">
        <f t="shared" si="3"/>
        <v>#DIV/0!</v>
      </c>
    </row>
    <row r="127" spans="1:7" s="76" customFormat="1" ht="27" customHeight="1">
      <c r="A127" s="65" t="s">
        <v>287</v>
      </c>
      <c r="B127" s="135"/>
      <c r="C127" s="64">
        <v>5.8</v>
      </c>
      <c r="D127" s="136"/>
      <c r="E127" s="136"/>
      <c r="F127" s="128">
        <f t="shared" si="2"/>
        <v>0</v>
      </c>
      <c r="G127" s="164" t="e">
        <f t="shared" si="3"/>
        <v>#DIV/0!</v>
      </c>
    </row>
    <row r="128" spans="1:7" s="76" customFormat="1" ht="32.25" customHeight="1">
      <c r="A128" s="65" t="s">
        <v>489</v>
      </c>
      <c r="B128" s="135"/>
      <c r="C128" s="64">
        <v>0.5</v>
      </c>
      <c r="D128" s="136"/>
      <c r="E128" s="136"/>
      <c r="F128" s="128">
        <f t="shared" si="2"/>
        <v>0</v>
      </c>
      <c r="G128" s="164" t="e">
        <f t="shared" si="3"/>
        <v>#DIV/0!</v>
      </c>
    </row>
    <row r="129" spans="1:7" s="76" customFormat="1" ht="27.75" customHeight="1">
      <c r="A129" s="65" t="s">
        <v>289</v>
      </c>
      <c r="B129" s="135"/>
      <c r="C129" s="64">
        <v>5.2</v>
      </c>
      <c r="D129" s="136"/>
      <c r="E129" s="136"/>
      <c r="F129" s="128">
        <f t="shared" si="2"/>
        <v>0</v>
      </c>
      <c r="G129" s="164" t="e">
        <f t="shared" si="3"/>
        <v>#DIV/0!</v>
      </c>
    </row>
    <row r="130" spans="1:7" s="76" customFormat="1" ht="39" customHeight="1">
      <c r="A130" s="65" t="s">
        <v>490</v>
      </c>
      <c r="B130" s="135"/>
      <c r="C130" s="64">
        <v>0.7</v>
      </c>
      <c r="D130" s="136"/>
      <c r="E130" s="136"/>
      <c r="F130" s="128">
        <f t="shared" si="2"/>
        <v>0</v>
      </c>
      <c r="G130" s="164" t="e">
        <f t="shared" si="3"/>
        <v>#DIV/0!</v>
      </c>
    </row>
    <row r="131" spans="1:7" s="76" customFormat="1" ht="29.25" customHeight="1">
      <c r="A131" s="65" t="s">
        <v>288</v>
      </c>
      <c r="B131" s="135"/>
      <c r="C131" s="64">
        <v>5</v>
      </c>
      <c r="D131" s="136"/>
      <c r="E131" s="136"/>
      <c r="F131" s="128">
        <f t="shared" si="2"/>
        <v>0</v>
      </c>
      <c r="G131" s="164" t="e">
        <f t="shared" si="3"/>
        <v>#DIV/0!</v>
      </c>
    </row>
    <row r="132" spans="1:7" s="76" customFormat="1" ht="27.75" customHeight="1">
      <c r="A132" s="65" t="s">
        <v>290</v>
      </c>
      <c r="B132" s="135"/>
      <c r="C132" s="64">
        <v>25.2</v>
      </c>
      <c r="D132" s="136"/>
      <c r="E132" s="136"/>
      <c r="F132" s="128">
        <f t="shared" si="2"/>
        <v>0</v>
      </c>
      <c r="G132" s="164" t="e">
        <f t="shared" si="3"/>
        <v>#DIV/0!</v>
      </c>
    </row>
    <row r="133" spans="1:7" s="76" customFormat="1" ht="27.75" customHeight="1">
      <c r="A133" s="65" t="s">
        <v>291</v>
      </c>
      <c r="B133" s="135"/>
      <c r="C133" s="64">
        <v>16.8</v>
      </c>
      <c r="D133" s="136"/>
      <c r="E133" s="136"/>
      <c r="F133" s="128">
        <f t="shared" si="2"/>
        <v>0</v>
      </c>
      <c r="G133" s="164" t="e">
        <f t="shared" si="3"/>
        <v>#DIV/0!</v>
      </c>
    </row>
    <row r="134" spans="1:7" s="76" customFormat="1" ht="25.5" customHeight="1">
      <c r="A134" s="65" t="s">
        <v>292</v>
      </c>
      <c r="B134" s="135"/>
      <c r="C134" s="64">
        <v>1.3</v>
      </c>
      <c r="D134" s="136"/>
      <c r="E134" s="136"/>
      <c r="F134" s="128">
        <f t="shared" si="2"/>
        <v>0</v>
      </c>
      <c r="G134" s="164" t="e">
        <f t="shared" si="3"/>
        <v>#DIV/0!</v>
      </c>
    </row>
    <row r="135" spans="1:7" s="76" customFormat="1" ht="24" customHeight="1">
      <c r="A135" s="65" t="s">
        <v>293</v>
      </c>
      <c r="B135" s="135"/>
      <c r="C135" s="64">
        <v>4.9000000000000004</v>
      </c>
      <c r="D135" s="136"/>
      <c r="E135" s="136"/>
      <c r="F135" s="128">
        <f t="shared" si="2"/>
        <v>0</v>
      </c>
      <c r="G135" s="164" t="e">
        <f t="shared" si="3"/>
        <v>#DIV/0!</v>
      </c>
    </row>
    <row r="136" spans="1:7" s="76" customFormat="1" ht="25.5" customHeight="1">
      <c r="A136" s="65" t="s">
        <v>294</v>
      </c>
      <c r="B136" s="135"/>
      <c r="C136" s="64">
        <v>2.2999999999999998</v>
      </c>
      <c r="D136" s="136"/>
      <c r="E136" s="136"/>
      <c r="F136" s="128">
        <f t="shared" si="2"/>
        <v>0</v>
      </c>
      <c r="G136" s="164" t="e">
        <f t="shared" si="3"/>
        <v>#DIV/0!</v>
      </c>
    </row>
    <row r="137" spans="1:7" s="76" customFormat="1" ht="23.25" customHeight="1">
      <c r="A137" s="65" t="s">
        <v>295</v>
      </c>
      <c r="B137" s="135"/>
      <c r="C137" s="64">
        <v>0.4</v>
      </c>
      <c r="D137" s="136"/>
      <c r="E137" s="136"/>
      <c r="F137" s="128">
        <f t="shared" si="2"/>
        <v>0</v>
      </c>
      <c r="G137" s="164" t="e">
        <f t="shared" si="3"/>
        <v>#DIV/0!</v>
      </c>
    </row>
    <row r="138" spans="1:7" s="76" customFormat="1" ht="39" customHeight="1">
      <c r="A138" s="65" t="s">
        <v>296</v>
      </c>
      <c r="B138" s="135"/>
      <c r="C138" s="64">
        <v>4.8</v>
      </c>
      <c r="D138" s="136"/>
      <c r="E138" s="136"/>
      <c r="F138" s="128">
        <f t="shared" si="2"/>
        <v>0</v>
      </c>
      <c r="G138" s="164" t="e">
        <f t="shared" si="3"/>
        <v>#DIV/0!</v>
      </c>
    </row>
    <row r="139" spans="1:7" s="76" customFormat="1" ht="27.75" customHeight="1">
      <c r="A139" s="65" t="s">
        <v>297</v>
      </c>
      <c r="B139" s="135"/>
      <c r="C139" s="64">
        <v>6.2</v>
      </c>
      <c r="D139" s="136"/>
      <c r="E139" s="136"/>
      <c r="F139" s="128">
        <f t="shared" si="2"/>
        <v>0</v>
      </c>
      <c r="G139" s="164" t="e">
        <f t="shared" si="3"/>
        <v>#DIV/0!</v>
      </c>
    </row>
    <row r="140" spans="1:7" s="76" customFormat="1" ht="25.5" customHeight="1">
      <c r="A140" s="65" t="s">
        <v>298</v>
      </c>
      <c r="B140" s="135"/>
      <c r="C140" s="64">
        <v>1.5</v>
      </c>
      <c r="D140" s="136"/>
      <c r="E140" s="136"/>
      <c r="F140" s="128">
        <f t="shared" si="2"/>
        <v>0</v>
      </c>
      <c r="G140" s="164" t="e">
        <f t="shared" si="3"/>
        <v>#DIV/0!</v>
      </c>
    </row>
    <row r="141" spans="1:7" s="76" customFormat="1" ht="33" customHeight="1">
      <c r="A141" s="65" t="s">
        <v>299</v>
      </c>
      <c r="B141" s="135"/>
      <c r="C141" s="64">
        <v>9.9</v>
      </c>
      <c r="D141" s="136"/>
      <c r="E141" s="136"/>
      <c r="F141" s="128">
        <f t="shared" si="2"/>
        <v>0</v>
      </c>
      <c r="G141" s="164" t="e">
        <f t="shared" si="3"/>
        <v>#DIV/0!</v>
      </c>
    </row>
    <row r="142" spans="1:7" s="76" customFormat="1" ht="30.75" customHeight="1">
      <c r="A142" s="65" t="s">
        <v>300</v>
      </c>
      <c r="B142" s="135"/>
      <c r="C142" s="64">
        <v>4.5</v>
      </c>
      <c r="D142" s="136"/>
      <c r="E142" s="136"/>
      <c r="F142" s="128">
        <f t="shared" si="2"/>
        <v>0</v>
      </c>
      <c r="G142" s="164" t="e">
        <f t="shared" si="3"/>
        <v>#DIV/0!</v>
      </c>
    </row>
    <row r="143" spans="1:7" s="76" customFormat="1" ht="28.5" customHeight="1">
      <c r="A143" s="65" t="s">
        <v>301</v>
      </c>
      <c r="B143" s="135"/>
      <c r="C143" s="64">
        <v>3.1</v>
      </c>
      <c r="D143" s="136"/>
      <c r="E143" s="136"/>
      <c r="F143" s="128">
        <f t="shared" si="2"/>
        <v>0</v>
      </c>
      <c r="G143" s="164" t="e">
        <f t="shared" si="3"/>
        <v>#DIV/0!</v>
      </c>
    </row>
    <row r="144" spans="1:7" s="76" customFormat="1" ht="29.25" customHeight="1">
      <c r="A144" s="65" t="s">
        <v>302</v>
      </c>
      <c r="B144" s="135"/>
      <c r="C144" s="64">
        <v>1.6</v>
      </c>
      <c r="D144" s="136"/>
      <c r="E144" s="136"/>
      <c r="F144" s="128">
        <f t="shared" si="2"/>
        <v>0</v>
      </c>
      <c r="G144" s="164" t="e">
        <f t="shared" si="3"/>
        <v>#DIV/0!</v>
      </c>
    </row>
    <row r="145" spans="1:7" s="76" customFormat="1" ht="39" customHeight="1">
      <c r="A145" s="65" t="s">
        <v>303</v>
      </c>
      <c r="B145" s="135"/>
      <c r="C145" s="64">
        <v>4.8</v>
      </c>
      <c r="D145" s="136"/>
      <c r="E145" s="136"/>
      <c r="F145" s="128">
        <f t="shared" si="2"/>
        <v>0</v>
      </c>
      <c r="G145" s="164" t="e">
        <f t="shared" si="3"/>
        <v>#DIV/0!</v>
      </c>
    </row>
    <row r="146" spans="1:7" s="76" customFormat="1" ht="29.25" customHeight="1">
      <c r="A146" s="65" t="s">
        <v>304</v>
      </c>
      <c r="B146" s="135"/>
      <c r="C146" s="64">
        <v>0.8</v>
      </c>
      <c r="D146" s="136"/>
      <c r="E146" s="136"/>
      <c r="F146" s="128">
        <f t="shared" si="2"/>
        <v>0</v>
      </c>
      <c r="G146" s="164" t="e">
        <f t="shared" si="3"/>
        <v>#DIV/0!</v>
      </c>
    </row>
    <row r="147" spans="1:7" s="76" customFormat="1" ht="33" customHeight="1">
      <c r="A147" s="65" t="s">
        <v>305</v>
      </c>
      <c r="B147" s="135"/>
      <c r="C147" s="64">
        <v>1.2</v>
      </c>
      <c r="D147" s="136"/>
      <c r="E147" s="136"/>
      <c r="F147" s="128">
        <f t="shared" si="2"/>
        <v>0</v>
      </c>
      <c r="G147" s="164" t="e">
        <f t="shared" si="3"/>
        <v>#DIV/0!</v>
      </c>
    </row>
    <row r="148" spans="1:7" s="76" customFormat="1" ht="39" customHeight="1">
      <c r="A148" s="65" t="s">
        <v>306</v>
      </c>
      <c r="B148" s="135"/>
      <c r="C148" s="64">
        <v>0.6</v>
      </c>
      <c r="D148" s="136"/>
      <c r="E148" s="136"/>
      <c r="F148" s="128">
        <f t="shared" si="2"/>
        <v>0</v>
      </c>
      <c r="G148" s="164" t="e">
        <f t="shared" si="3"/>
        <v>#DIV/0!</v>
      </c>
    </row>
    <row r="149" spans="1:7" s="76" customFormat="1" ht="29.25" customHeight="1">
      <c r="A149" s="65" t="s">
        <v>307</v>
      </c>
      <c r="B149" s="135"/>
      <c r="C149" s="64">
        <v>1.6</v>
      </c>
      <c r="D149" s="136"/>
      <c r="E149" s="136"/>
      <c r="F149" s="128">
        <f t="shared" si="2"/>
        <v>0</v>
      </c>
      <c r="G149" s="164" t="e">
        <f t="shared" si="3"/>
        <v>#DIV/0!</v>
      </c>
    </row>
    <row r="150" spans="1:7" s="76" customFormat="1" ht="28.5" customHeight="1">
      <c r="A150" s="65" t="s">
        <v>308</v>
      </c>
      <c r="B150" s="135"/>
      <c r="C150" s="64">
        <v>5.7</v>
      </c>
      <c r="D150" s="136"/>
      <c r="E150" s="136"/>
      <c r="F150" s="128">
        <f t="shared" si="2"/>
        <v>0</v>
      </c>
      <c r="G150" s="164" t="e">
        <f t="shared" si="3"/>
        <v>#DIV/0!</v>
      </c>
    </row>
    <row r="151" spans="1:7" s="76" customFormat="1" ht="31.5" customHeight="1">
      <c r="A151" s="65" t="s">
        <v>309</v>
      </c>
      <c r="B151" s="135"/>
      <c r="C151" s="64">
        <v>5.5</v>
      </c>
      <c r="D151" s="136"/>
      <c r="E151" s="136"/>
      <c r="F151" s="128">
        <f t="shared" si="2"/>
        <v>0</v>
      </c>
      <c r="G151" s="164" t="e">
        <f t="shared" si="3"/>
        <v>#DIV/0!</v>
      </c>
    </row>
    <row r="152" spans="1:7" s="76" customFormat="1" ht="32.25" customHeight="1">
      <c r="A152" s="65" t="s">
        <v>310</v>
      </c>
      <c r="B152" s="135"/>
      <c r="C152" s="64">
        <v>24.5</v>
      </c>
      <c r="D152" s="136"/>
      <c r="E152" s="136"/>
      <c r="F152" s="128">
        <f t="shared" si="2"/>
        <v>0</v>
      </c>
      <c r="G152" s="164" t="e">
        <f t="shared" si="3"/>
        <v>#DIV/0!</v>
      </c>
    </row>
    <row r="153" spans="1:7" s="76" customFormat="1" ht="31.5" customHeight="1">
      <c r="A153" s="65" t="s">
        <v>311</v>
      </c>
      <c r="B153" s="135"/>
      <c r="C153" s="64">
        <v>2.2999999999999998</v>
      </c>
      <c r="D153" s="136"/>
      <c r="E153" s="136"/>
      <c r="F153" s="128">
        <f t="shared" si="2"/>
        <v>0</v>
      </c>
      <c r="G153" s="164" t="e">
        <f t="shared" si="3"/>
        <v>#DIV/0!</v>
      </c>
    </row>
    <row r="154" spans="1:7" s="76" customFormat="1" ht="30.75" customHeight="1">
      <c r="A154" s="65" t="s">
        <v>312</v>
      </c>
      <c r="B154" s="135"/>
      <c r="C154" s="64">
        <v>0.7</v>
      </c>
      <c r="D154" s="136"/>
      <c r="E154" s="136"/>
      <c r="F154" s="128">
        <f t="shared" si="2"/>
        <v>0</v>
      </c>
      <c r="G154" s="164" t="e">
        <f t="shared" si="3"/>
        <v>#DIV/0!</v>
      </c>
    </row>
    <row r="155" spans="1:7" s="76" customFormat="1" ht="31.5" customHeight="1">
      <c r="A155" s="65" t="s">
        <v>313</v>
      </c>
      <c r="B155" s="135"/>
      <c r="C155" s="64">
        <v>0.4</v>
      </c>
      <c r="D155" s="136"/>
      <c r="E155" s="136"/>
      <c r="F155" s="128">
        <f t="shared" si="2"/>
        <v>0</v>
      </c>
      <c r="G155" s="164" t="e">
        <f t="shared" si="3"/>
        <v>#DIV/0!</v>
      </c>
    </row>
    <row r="156" spans="1:7" s="76" customFormat="1" ht="29.25" customHeight="1">
      <c r="A156" s="65" t="s">
        <v>491</v>
      </c>
      <c r="B156" s="135"/>
      <c r="C156" s="64">
        <v>17.899999999999999</v>
      </c>
      <c r="D156" s="136"/>
      <c r="E156" s="136"/>
      <c r="F156" s="128">
        <f t="shared" si="2"/>
        <v>0</v>
      </c>
      <c r="G156" s="164" t="e">
        <f t="shared" si="3"/>
        <v>#DIV/0!</v>
      </c>
    </row>
    <row r="157" spans="1:7" s="76" customFormat="1" ht="28.5" customHeight="1">
      <c r="A157" s="65" t="s">
        <v>492</v>
      </c>
      <c r="B157" s="135"/>
      <c r="C157" s="64">
        <v>7.4</v>
      </c>
      <c r="D157" s="136"/>
      <c r="E157" s="136"/>
      <c r="F157" s="128">
        <f t="shared" si="2"/>
        <v>0</v>
      </c>
      <c r="G157" s="164" t="e">
        <f t="shared" si="3"/>
        <v>#DIV/0!</v>
      </c>
    </row>
    <row r="158" spans="1:7" s="76" customFormat="1" ht="28.5" customHeight="1">
      <c r="A158" s="169" t="s">
        <v>493</v>
      </c>
      <c r="B158" s="135"/>
      <c r="C158" s="64">
        <v>1.6</v>
      </c>
      <c r="D158" s="136"/>
      <c r="E158" s="136"/>
      <c r="F158" s="128">
        <f t="shared" si="2"/>
        <v>0</v>
      </c>
      <c r="G158" s="164" t="e">
        <f t="shared" si="3"/>
        <v>#DIV/0!</v>
      </c>
    </row>
    <row r="159" spans="1:7" s="76" customFormat="1" ht="27" customHeight="1">
      <c r="A159" s="65" t="s">
        <v>314</v>
      </c>
      <c r="B159" s="135"/>
      <c r="C159" s="64">
        <v>10.7</v>
      </c>
      <c r="D159" s="136"/>
      <c r="E159" s="136"/>
      <c r="F159" s="128">
        <f t="shared" si="2"/>
        <v>0</v>
      </c>
      <c r="G159" s="164" t="e">
        <f t="shared" si="3"/>
        <v>#DIV/0!</v>
      </c>
    </row>
    <row r="160" spans="1:7" s="76" customFormat="1" ht="27" customHeight="1">
      <c r="A160" s="82" t="s">
        <v>494</v>
      </c>
      <c r="B160" s="135"/>
      <c r="C160" s="64">
        <f>5.2+6.4</f>
        <v>11.600000000000001</v>
      </c>
      <c r="D160" s="136"/>
      <c r="E160" s="136"/>
      <c r="F160" s="128">
        <f t="shared" si="2"/>
        <v>0</v>
      </c>
      <c r="G160" s="164" t="e">
        <f t="shared" si="3"/>
        <v>#DIV/0!</v>
      </c>
    </row>
    <row r="161" spans="1:7" s="76" customFormat="1" ht="33" customHeight="1">
      <c r="A161" s="83" t="s">
        <v>315</v>
      </c>
      <c r="B161" s="135"/>
      <c r="C161" s="64">
        <v>8</v>
      </c>
      <c r="D161" s="136"/>
      <c r="E161" s="136"/>
      <c r="F161" s="128">
        <f t="shared" si="2"/>
        <v>0</v>
      </c>
      <c r="G161" s="164" t="e">
        <f t="shared" si="3"/>
        <v>#DIV/0!</v>
      </c>
    </row>
    <row r="162" spans="1:7" s="76" customFormat="1" ht="27" customHeight="1">
      <c r="A162" s="82" t="s">
        <v>316</v>
      </c>
      <c r="B162" s="135"/>
      <c r="C162" s="64">
        <v>4.5999999999999996</v>
      </c>
      <c r="D162" s="136"/>
      <c r="E162" s="136"/>
      <c r="F162" s="128">
        <f t="shared" si="2"/>
        <v>0</v>
      </c>
      <c r="G162" s="164" t="e">
        <f t="shared" si="3"/>
        <v>#DIV/0!</v>
      </c>
    </row>
    <row r="163" spans="1:7" s="76" customFormat="1" ht="28.5" customHeight="1">
      <c r="A163" s="82" t="s">
        <v>317</v>
      </c>
      <c r="B163" s="135"/>
      <c r="C163" s="64">
        <v>2.1</v>
      </c>
      <c r="D163" s="136"/>
      <c r="E163" s="136"/>
      <c r="F163" s="128">
        <f t="shared" si="2"/>
        <v>0</v>
      </c>
      <c r="G163" s="164" t="e">
        <f t="shared" si="3"/>
        <v>#DIV/0!</v>
      </c>
    </row>
    <row r="164" spans="1:7" s="76" customFormat="1" ht="25.5" customHeight="1">
      <c r="A164" s="81" t="s">
        <v>495</v>
      </c>
      <c r="B164" s="135"/>
      <c r="C164" s="64">
        <v>0.3</v>
      </c>
      <c r="D164" s="136"/>
      <c r="E164" s="136"/>
      <c r="F164" s="128">
        <f t="shared" si="2"/>
        <v>0</v>
      </c>
      <c r="G164" s="164" t="e">
        <f t="shared" si="3"/>
        <v>#DIV/0!</v>
      </c>
    </row>
    <row r="165" spans="1:7" s="76" customFormat="1" ht="27.75" customHeight="1">
      <c r="A165" s="81" t="s">
        <v>496</v>
      </c>
      <c r="B165" s="135"/>
      <c r="C165" s="64">
        <v>0.4</v>
      </c>
      <c r="D165" s="136"/>
      <c r="E165" s="136"/>
      <c r="F165" s="128">
        <f t="shared" si="2"/>
        <v>0</v>
      </c>
      <c r="G165" s="164" t="e">
        <f t="shared" si="3"/>
        <v>#DIV/0!</v>
      </c>
    </row>
    <row r="166" spans="1:7" s="76" customFormat="1" ht="29.25" customHeight="1">
      <c r="A166" s="81" t="s">
        <v>497</v>
      </c>
      <c r="B166" s="135"/>
      <c r="C166" s="64">
        <v>0.7</v>
      </c>
      <c r="D166" s="136"/>
      <c r="E166" s="136"/>
      <c r="F166" s="128">
        <f t="shared" si="2"/>
        <v>0</v>
      </c>
      <c r="G166" s="164" t="e">
        <f t="shared" si="3"/>
        <v>#DIV/0!</v>
      </c>
    </row>
    <row r="167" spans="1:7" s="76" customFormat="1" ht="28.5" customHeight="1">
      <c r="A167" s="84" t="s">
        <v>498</v>
      </c>
      <c r="B167" s="135"/>
      <c r="C167" s="64">
        <f>1.6+4</f>
        <v>5.6</v>
      </c>
      <c r="D167" s="136"/>
      <c r="E167" s="136"/>
      <c r="F167" s="128">
        <f t="shared" si="2"/>
        <v>0</v>
      </c>
      <c r="G167" s="164" t="e">
        <f t="shared" si="3"/>
        <v>#DIV/0!</v>
      </c>
    </row>
    <row r="168" spans="1:7" s="76" customFormat="1" ht="28.5" customHeight="1">
      <c r="A168" s="84" t="s">
        <v>499</v>
      </c>
      <c r="B168" s="135"/>
      <c r="C168" s="64">
        <v>2.7</v>
      </c>
      <c r="D168" s="136"/>
      <c r="E168" s="136"/>
      <c r="F168" s="128">
        <f t="shared" si="2"/>
        <v>0</v>
      </c>
      <c r="G168" s="164" t="e">
        <f t="shared" si="3"/>
        <v>#DIV/0!</v>
      </c>
    </row>
    <row r="169" spans="1:7" s="76" customFormat="1" ht="29.25" customHeight="1">
      <c r="A169" s="84" t="s">
        <v>500</v>
      </c>
      <c r="B169" s="135"/>
      <c r="C169" s="64">
        <v>5</v>
      </c>
      <c r="D169" s="136"/>
      <c r="E169" s="136"/>
      <c r="F169" s="128">
        <f t="shared" si="2"/>
        <v>0</v>
      </c>
      <c r="G169" s="164" t="e">
        <f t="shared" si="3"/>
        <v>#DIV/0!</v>
      </c>
    </row>
    <row r="170" spans="1:7" s="76" customFormat="1" ht="28.5" customHeight="1">
      <c r="A170" s="84" t="s">
        <v>501</v>
      </c>
      <c r="B170" s="135"/>
      <c r="C170" s="64">
        <v>7.6</v>
      </c>
      <c r="D170" s="136"/>
      <c r="E170" s="136"/>
      <c r="F170" s="128">
        <f t="shared" si="2"/>
        <v>0</v>
      </c>
      <c r="G170" s="164" t="e">
        <f t="shared" si="3"/>
        <v>#DIV/0!</v>
      </c>
    </row>
    <row r="171" spans="1:7" s="76" customFormat="1" ht="39" customHeight="1">
      <c r="A171" s="84" t="s">
        <v>502</v>
      </c>
      <c r="B171" s="135"/>
      <c r="C171" s="64">
        <v>15.3</v>
      </c>
      <c r="D171" s="136"/>
      <c r="E171" s="136"/>
      <c r="F171" s="128">
        <f t="shared" si="2"/>
        <v>0</v>
      </c>
      <c r="G171" s="164" t="e">
        <f t="shared" si="3"/>
        <v>#DIV/0!</v>
      </c>
    </row>
    <row r="172" spans="1:7" s="76" customFormat="1" ht="29.25" customHeight="1">
      <c r="A172" s="81" t="s">
        <v>478</v>
      </c>
      <c r="B172" s="135"/>
      <c r="C172" s="64">
        <v>1.4</v>
      </c>
      <c r="D172" s="136"/>
      <c r="E172" s="136"/>
      <c r="F172" s="128">
        <f t="shared" si="2"/>
        <v>0</v>
      </c>
      <c r="G172" s="164" t="e">
        <f t="shared" si="3"/>
        <v>#DIV/0!</v>
      </c>
    </row>
    <row r="173" spans="1:7" s="76" customFormat="1" ht="25.5" customHeight="1">
      <c r="A173" s="81" t="s">
        <v>479</v>
      </c>
      <c r="B173" s="135"/>
      <c r="C173" s="64">
        <v>2</v>
      </c>
      <c r="D173" s="136"/>
      <c r="E173" s="136"/>
      <c r="F173" s="128">
        <f t="shared" si="2"/>
        <v>0</v>
      </c>
      <c r="G173" s="164" t="e">
        <f t="shared" si="3"/>
        <v>#DIV/0!</v>
      </c>
    </row>
    <row r="174" spans="1:7" s="76" customFormat="1" ht="21.75" customHeight="1">
      <c r="A174" s="81" t="s">
        <v>480</v>
      </c>
      <c r="B174" s="135"/>
      <c r="C174" s="64">
        <v>3</v>
      </c>
      <c r="D174" s="136"/>
      <c r="E174" s="136"/>
      <c r="F174" s="128">
        <f t="shared" si="2"/>
        <v>0</v>
      </c>
      <c r="G174" s="164" t="e">
        <f t="shared" si="3"/>
        <v>#DIV/0!</v>
      </c>
    </row>
    <row r="175" spans="1:7" s="76" customFormat="1" ht="22.5" customHeight="1">
      <c r="A175" s="81" t="s">
        <v>481</v>
      </c>
      <c r="B175" s="135"/>
      <c r="C175" s="64">
        <v>3.7</v>
      </c>
      <c r="D175" s="136"/>
      <c r="E175" s="136"/>
      <c r="F175" s="128">
        <f t="shared" si="2"/>
        <v>0</v>
      </c>
      <c r="G175" s="164" t="e">
        <f t="shared" si="3"/>
        <v>#DIV/0!</v>
      </c>
    </row>
    <row r="176" spans="1:7" s="76" customFormat="1" ht="25.5" customHeight="1">
      <c r="A176" s="81" t="s">
        <v>482</v>
      </c>
      <c r="B176" s="135"/>
      <c r="C176" s="64">
        <f>13.8+10.4</f>
        <v>24.200000000000003</v>
      </c>
      <c r="D176" s="136"/>
      <c r="E176" s="136"/>
      <c r="F176" s="128">
        <f t="shared" si="2"/>
        <v>0</v>
      </c>
      <c r="G176" s="164" t="e">
        <f t="shared" si="3"/>
        <v>#DIV/0!</v>
      </c>
    </row>
    <row r="177" spans="1:7" s="76" customFormat="1" ht="24" customHeight="1">
      <c r="A177" s="81" t="s">
        <v>483</v>
      </c>
      <c r="B177" s="135"/>
      <c r="C177" s="64">
        <v>2.5</v>
      </c>
      <c r="D177" s="136"/>
      <c r="E177" s="136"/>
      <c r="F177" s="128">
        <f t="shared" si="2"/>
        <v>0</v>
      </c>
      <c r="G177" s="164" t="e">
        <f t="shared" si="3"/>
        <v>#DIV/0!</v>
      </c>
    </row>
    <row r="178" spans="1:7" s="76" customFormat="1" ht="27.75" customHeight="1">
      <c r="A178" s="81" t="s">
        <v>484</v>
      </c>
      <c r="B178" s="135"/>
      <c r="C178" s="64">
        <v>2.1</v>
      </c>
      <c r="D178" s="136"/>
      <c r="E178" s="136"/>
      <c r="F178" s="128">
        <f t="shared" si="2"/>
        <v>0</v>
      </c>
      <c r="G178" s="164" t="e">
        <f t="shared" si="3"/>
        <v>#DIV/0!</v>
      </c>
    </row>
    <row r="179" spans="1:7" s="76" customFormat="1" ht="24.75" customHeight="1">
      <c r="A179" s="81" t="s">
        <v>485</v>
      </c>
      <c r="B179" s="135"/>
      <c r="C179" s="64">
        <v>1.5</v>
      </c>
      <c r="D179" s="136"/>
      <c r="E179" s="136"/>
      <c r="F179" s="128">
        <f t="shared" si="2"/>
        <v>0</v>
      </c>
      <c r="G179" s="164" t="e">
        <f t="shared" si="3"/>
        <v>#DIV/0!</v>
      </c>
    </row>
    <row r="180" spans="1:7" s="76" customFormat="1" ht="25.5" customHeight="1">
      <c r="A180" s="81" t="s">
        <v>486</v>
      </c>
      <c r="B180" s="135"/>
      <c r="C180" s="64">
        <v>1.4</v>
      </c>
      <c r="D180" s="136"/>
      <c r="E180" s="136"/>
      <c r="F180" s="128">
        <f t="shared" si="2"/>
        <v>0</v>
      </c>
      <c r="G180" s="164" t="e">
        <f t="shared" si="3"/>
        <v>#DIV/0!</v>
      </c>
    </row>
    <row r="181" spans="1:7" s="76" customFormat="1" ht="23.25" customHeight="1">
      <c r="A181" s="81" t="s">
        <v>487</v>
      </c>
      <c r="B181" s="135"/>
      <c r="C181" s="64">
        <v>2.1</v>
      </c>
      <c r="D181" s="136"/>
      <c r="E181" s="136"/>
      <c r="F181" s="128">
        <f t="shared" si="2"/>
        <v>0</v>
      </c>
      <c r="G181" s="164" t="e">
        <f t="shared" si="3"/>
        <v>#DIV/0!</v>
      </c>
    </row>
    <row r="182" spans="1:7" s="76" customFormat="1" ht="21.75" customHeight="1">
      <c r="A182" s="81" t="s">
        <v>488</v>
      </c>
      <c r="B182" s="135"/>
      <c r="C182" s="64">
        <v>4.5</v>
      </c>
      <c r="D182" s="136"/>
      <c r="E182" s="136"/>
      <c r="F182" s="128">
        <f t="shared" si="2"/>
        <v>0</v>
      </c>
      <c r="G182" s="164" t="e">
        <f t="shared" si="3"/>
        <v>#DIV/0!</v>
      </c>
    </row>
    <row r="183" spans="1:7" s="76" customFormat="1" ht="26.25" customHeight="1">
      <c r="A183" s="48" t="s">
        <v>571</v>
      </c>
      <c r="B183" s="135"/>
      <c r="C183" s="64"/>
      <c r="D183" s="136"/>
      <c r="E183" s="79">
        <v>22</v>
      </c>
      <c r="F183" s="128">
        <f t="shared" si="2"/>
        <v>22</v>
      </c>
      <c r="G183" s="164" t="e">
        <f t="shared" si="3"/>
        <v>#DIV/0!</v>
      </c>
    </row>
    <row r="184" spans="1:7" s="76" customFormat="1" ht="27" customHeight="1">
      <c r="A184" s="48" t="s">
        <v>321</v>
      </c>
      <c r="B184" s="135"/>
      <c r="C184" s="64"/>
      <c r="D184" s="136"/>
      <c r="E184" s="79">
        <v>14.6</v>
      </c>
      <c r="F184" s="128">
        <f t="shared" si="2"/>
        <v>14.6</v>
      </c>
      <c r="G184" s="164" t="e">
        <f t="shared" si="3"/>
        <v>#DIV/0!</v>
      </c>
    </row>
    <row r="185" spans="1:7" s="76" customFormat="1" ht="24.75" customHeight="1">
      <c r="A185" s="48" t="s">
        <v>324</v>
      </c>
      <c r="B185" s="135"/>
      <c r="C185" s="64"/>
      <c r="D185" s="136"/>
      <c r="E185" s="79">
        <v>34</v>
      </c>
      <c r="F185" s="128">
        <f t="shared" si="2"/>
        <v>34</v>
      </c>
      <c r="G185" s="164" t="e">
        <f t="shared" si="3"/>
        <v>#DIV/0!</v>
      </c>
    </row>
    <row r="186" spans="1:7" s="76" customFormat="1" ht="39" customHeight="1">
      <c r="A186" s="45" t="s">
        <v>323</v>
      </c>
      <c r="B186" s="135"/>
      <c r="C186" s="64"/>
      <c r="D186" s="136"/>
      <c r="E186" s="79">
        <v>2.8</v>
      </c>
      <c r="F186" s="128">
        <f t="shared" si="2"/>
        <v>2.8</v>
      </c>
      <c r="G186" s="164" t="e">
        <f t="shared" si="3"/>
        <v>#DIV/0!</v>
      </c>
    </row>
    <row r="187" spans="1:7" s="76" customFormat="1" ht="27" customHeight="1">
      <c r="A187" s="65" t="s">
        <v>328</v>
      </c>
      <c r="B187" s="135"/>
      <c r="C187" s="64"/>
      <c r="D187" s="136"/>
      <c r="E187" s="79">
        <v>2.7</v>
      </c>
      <c r="F187" s="128">
        <f t="shared" si="2"/>
        <v>2.7</v>
      </c>
      <c r="G187" s="164" t="e">
        <f t="shared" si="3"/>
        <v>#DIV/0!</v>
      </c>
    </row>
    <row r="188" spans="1:7" s="76" customFormat="1" ht="39" customHeight="1">
      <c r="A188" s="45" t="s">
        <v>572</v>
      </c>
      <c r="B188" s="135"/>
      <c r="C188" s="64"/>
      <c r="D188" s="136"/>
      <c r="E188" s="79">
        <v>14.2</v>
      </c>
      <c r="F188" s="128">
        <f t="shared" si="2"/>
        <v>14.2</v>
      </c>
      <c r="G188" s="164" t="e">
        <f t="shared" si="3"/>
        <v>#DIV/0!</v>
      </c>
    </row>
    <row r="189" spans="1:7" s="76" customFormat="1" ht="24.75" customHeight="1">
      <c r="A189" s="45" t="s">
        <v>573</v>
      </c>
      <c r="B189" s="135"/>
      <c r="C189" s="64"/>
      <c r="D189" s="136"/>
      <c r="E189" s="79">
        <v>19.600000000000001</v>
      </c>
      <c r="F189" s="128">
        <f t="shared" si="2"/>
        <v>19.600000000000001</v>
      </c>
      <c r="G189" s="164" t="e">
        <f t="shared" si="3"/>
        <v>#DIV/0!</v>
      </c>
    </row>
    <row r="190" spans="1:7" s="76" customFormat="1" ht="24.75" customHeight="1">
      <c r="A190" s="45" t="s">
        <v>574</v>
      </c>
      <c r="B190" s="135"/>
      <c r="C190" s="64"/>
      <c r="D190" s="136"/>
      <c r="E190" s="79">
        <v>19.899999999999999</v>
      </c>
      <c r="F190" s="128">
        <f t="shared" si="2"/>
        <v>19.899999999999999</v>
      </c>
      <c r="G190" s="164" t="e">
        <f t="shared" si="3"/>
        <v>#DIV/0!</v>
      </c>
    </row>
    <row r="191" spans="1:7" s="76" customFormat="1" ht="24.75" customHeight="1">
      <c r="A191" s="45" t="s">
        <v>575</v>
      </c>
      <c r="B191" s="135"/>
      <c r="C191" s="64"/>
      <c r="D191" s="136"/>
      <c r="E191" s="64">
        <v>0.3</v>
      </c>
      <c r="F191" s="128">
        <f t="shared" si="2"/>
        <v>0.3</v>
      </c>
      <c r="G191" s="164" t="e">
        <f t="shared" si="3"/>
        <v>#DIV/0!</v>
      </c>
    </row>
    <row r="192" spans="1:7" s="76" customFormat="1" ht="21.75" customHeight="1">
      <c r="A192" s="45" t="s">
        <v>366</v>
      </c>
      <c r="B192" s="135"/>
      <c r="C192" s="64"/>
      <c r="D192" s="136"/>
      <c r="E192" s="64">
        <v>0.1</v>
      </c>
      <c r="F192" s="128">
        <f t="shared" si="2"/>
        <v>0.1</v>
      </c>
      <c r="G192" s="164" t="e">
        <f t="shared" si="3"/>
        <v>#DIV/0!</v>
      </c>
    </row>
    <row r="193" spans="1:7" s="76" customFormat="1" ht="23.25" customHeight="1">
      <c r="A193" s="45" t="s">
        <v>367</v>
      </c>
      <c r="B193" s="135"/>
      <c r="C193" s="64"/>
      <c r="D193" s="136"/>
      <c r="E193" s="64">
        <v>2</v>
      </c>
      <c r="F193" s="128">
        <f t="shared" si="2"/>
        <v>2</v>
      </c>
      <c r="G193" s="164" t="e">
        <f t="shared" si="3"/>
        <v>#DIV/0!</v>
      </c>
    </row>
    <row r="194" spans="1:7" s="76" customFormat="1" ht="23.25" customHeight="1">
      <c r="A194" s="45" t="s">
        <v>372</v>
      </c>
      <c r="B194" s="135"/>
      <c r="C194" s="64"/>
      <c r="D194" s="136"/>
      <c r="E194" s="64">
        <v>4.5</v>
      </c>
      <c r="F194" s="128">
        <f t="shared" si="2"/>
        <v>4.5</v>
      </c>
      <c r="G194" s="164" t="e">
        <f t="shared" si="3"/>
        <v>#DIV/0!</v>
      </c>
    </row>
    <row r="195" spans="1:7" s="76" customFormat="1" ht="24.75" customHeight="1">
      <c r="A195" s="45" t="s">
        <v>373</v>
      </c>
      <c r="B195" s="135"/>
      <c r="C195" s="64"/>
      <c r="D195" s="136"/>
      <c r="E195" s="64">
        <v>2.5</v>
      </c>
      <c r="F195" s="128">
        <f t="shared" si="2"/>
        <v>2.5</v>
      </c>
      <c r="G195" s="164" t="e">
        <f t="shared" si="3"/>
        <v>#DIV/0!</v>
      </c>
    </row>
    <row r="196" spans="1:7" s="76" customFormat="1" ht="21.75" customHeight="1">
      <c r="A196" s="45" t="s">
        <v>374</v>
      </c>
      <c r="B196" s="135"/>
      <c r="C196" s="64"/>
      <c r="D196" s="136"/>
      <c r="E196" s="64">
        <v>2.1</v>
      </c>
      <c r="F196" s="128">
        <f t="shared" si="2"/>
        <v>2.1</v>
      </c>
      <c r="G196" s="164" t="e">
        <f t="shared" si="3"/>
        <v>#DIV/0!</v>
      </c>
    </row>
    <row r="197" spans="1:7" s="76" customFormat="1" ht="24" customHeight="1">
      <c r="A197" s="45" t="s">
        <v>375</v>
      </c>
      <c r="B197" s="135"/>
      <c r="C197" s="64"/>
      <c r="D197" s="136"/>
      <c r="E197" s="64">
        <v>12</v>
      </c>
      <c r="F197" s="128">
        <f t="shared" si="2"/>
        <v>12</v>
      </c>
      <c r="G197" s="164" t="e">
        <f t="shared" si="3"/>
        <v>#DIV/0!</v>
      </c>
    </row>
    <row r="198" spans="1:7" s="76" customFormat="1" ht="25.5" customHeight="1">
      <c r="A198" s="45" t="s">
        <v>379</v>
      </c>
      <c r="B198" s="135"/>
      <c r="C198" s="64"/>
      <c r="D198" s="136"/>
      <c r="E198" s="64">
        <v>2.7</v>
      </c>
      <c r="F198" s="128">
        <f t="shared" si="2"/>
        <v>2.7</v>
      </c>
      <c r="G198" s="164" t="e">
        <f t="shared" si="3"/>
        <v>#DIV/0!</v>
      </c>
    </row>
    <row r="199" spans="1:7" s="76" customFormat="1" ht="23.25" customHeight="1">
      <c r="A199" s="45" t="s">
        <v>380</v>
      </c>
      <c r="B199" s="135"/>
      <c r="C199" s="64"/>
      <c r="D199" s="136"/>
      <c r="E199" s="64">
        <v>2.1</v>
      </c>
      <c r="F199" s="128">
        <f t="shared" si="2"/>
        <v>2.1</v>
      </c>
      <c r="G199" s="164" t="e">
        <f t="shared" si="3"/>
        <v>#DIV/0!</v>
      </c>
    </row>
    <row r="200" spans="1:7" s="76" customFormat="1" ht="26.25" customHeight="1">
      <c r="A200" s="45" t="s">
        <v>583</v>
      </c>
      <c r="B200" s="135"/>
      <c r="C200" s="64"/>
      <c r="D200" s="136"/>
      <c r="E200" s="64">
        <v>6.4</v>
      </c>
      <c r="F200" s="128">
        <f t="shared" si="2"/>
        <v>6.4</v>
      </c>
      <c r="G200" s="164" t="e">
        <f t="shared" si="3"/>
        <v>#DIV/0!</v>
      </c>
    </row>
    <row r="201" spans="1:7" s="76" customFormat="1" ht="25.5" customHeight="1">
      <c r="A201" s="45" t="s">
        <v>382</v>
      </c>
      <c r="B201" s="135"/>
      <c r="C201" s="64"/>
      <c r="D201" s="136"/>
      <c r="E201" s="64">
        <v>1.5</v>
      </c>
      <c r="F201" s="128">
        <f t="shared" si="2"/>
        <v>1.5</v>
      </c>
      <c r="G201" s="164" t="e">
        <f t="shared" si="3"/>
        <v>#DIV/0!</v>
      </c>
    </row>
    <row r="202" spans="1:7" s="76" customFormat="1" ht="26.25" customHeight="1">
      <c r="A202" s="45" t="s">
        <v>582</v>
      </c>
      <c r="B202" s="135"/>
      <c r="C202" s="64"/>
      <c r="D202" s="136"/>
      <c r="E202" s="64">
        <v>8</v>
      </c>
      <c r="F202" s="128">
        <f t="shared" si="2"/>
        <v>8</v>
      </c>
      <c r="G202" s="164" t="e">
        <f t="shared" si="3"/>
        <v>#DIV/0!</v>
      </c>
    </row>
    <row r="203" spans="1:7" s="76" customFormat="1" ht="24" customHeight="1">
      <c r="A203" s="45" t="s">
        <v>384</v>
      </c>
      <c r="B203" s="135"/>
      <c r="C203" s="64"/>
      <c r="D203" s="136"/>
      <c r="E203" s="64">
        <v>13</v>
      </c>
      <c r="F203" s="128">
        <f t="shared" si="2"/>
        <v>13</v>
      </c>
      <c r="G203" s="164" t="e">
        <f t="shared" si="3"/>
        <v>#DIV/0!</v>
      </c>
    </row>
    <row r="204" spans="1:7" s="76" customFormat="1" ht="27" customHeight="1">
      <c r="A204" s="45" t="s">
        <v>565</v>
      </c>
      <c r="B204" s="135"/>
      <c r="C204" s="64"/>
      <c r="D204" s="136"/>
      <c r="E204" s="64">
        <v>4.5999999999999996</v>
      </c>
      <c r="F204" s="128">
        <f t="shared" si="2"/>
        <v>4.5999999999999996</v>
      </c>
      <c r="G204" s="164" t="e">
        <f t="shared" si="3"/>
        <v>#DIV/0!</v>
      </c>
    </row>
    <row r="205" spans="1:7" s="76" customFormat="1" ht="23.25" customHeight="1">
      <c r="A205" s="45" t="s">
        <v>581</v>
      </c>
      <c r="B205" s="135"/>
      <c r="C205" s="64"/>
      <c r="D205" s="136"/>
      <c r="E205" s="64">
        <v>98.7</v>
      </c>
      <c r="F205" s="128">
        <f t="shared" si="2"/>
        <v>98.7</v>
      </c>
      <c r="G205" s="164" t="e">
        <f t="shared" si="3"/>
        <v>#DIV/0!</v>
      </c>
    </row>
    <row r="206" spans="1:7" s="76" customFormat="1" ht="24" customHeight="1">
      <c r="A206" s="45" t="s">
        <v>580</v>
      </c>
      <c r="B206" s="135"/>
      <c r="C206" s="64"/>
      <c r="D206" s="136"/>
      <c r="E206" s="64">
        <v>5</v>
      </c>
      <c r="F206" s="128">
        <f t="shared" si="2"/>
        <v>5</v>
      </c>
      <c r="G206" s="164" t="e">
        <f t="shared" si="3"/>
        <v>#DIV/0!</v>
      </c>
    </row>
    <row r="207" spans="1:7" s="76" customFormat="1" ht="24.75" customHeight="1">
      <c r="A207" s="45" t="s">
        <v>579</v>
      </c>
      <c r="B207" s="135"/>
      <c r="C207" s="64"/>
      <c r="D207" s="136"/>
      <c r="E207" s="64">
        <v>5</v>
      </c>
      <c r="F207" s="128">
        <f t="shared" si="2"/>
        <v>5</v>
      </c>
      <c r="G207" s="164" t="e">
        <f t="shared" si="3"/>
        <v>#DIV/0!</v>
      </c>
    </row>
    <row r="208" spans="1:7" s="76" customFormat="1" ht="26.25" customHeight="1">
      <c r="A208" s="45" t="s">
        <v>387</v>
      </c>
      <c r="B208" s="135"/>
      <c r="C208" s="64"/>
      <c r="D208" s="136"/>
      <c r="E208" s="64">
        <v>0.3</v>
      </c>
      <c r="F208" s="128">
        <f t="shared" si="2"/>
        <v>0.3</v>
      </c>
      <c r="G208" s="164" t="e">
        <f t="shared" si="3"/>
        <v>#DIV/0!</v>
      </c>
    </row>
    <row r="209" spans="1:7" s="76" customFormat="1" ht="23.25" customHeight="1">
      <c r="A209" s="45" t="s">
        <v>388</v>
      </c>
      <c r="B209" s="135"/>
      <c r="C209" s="64"/>
      <c r="D209" s="136"/>
      <c r="E209" s="64">
        <v>2.8</v>
      </c>
      <c r="F209" s="128">
        <f t="shared" si="2"/>
        <v>2.8</v>
      </c>
      <c r="G209" s="164" t="e">
        <f t="shared" si="3"/>
        <v>#DIV/0!</v>
      </c>
    </row>
    <row r="210" spans="1:7" s="76" customFormat="1" ht="24.75" customHeight="1">
      <c r="A210" s="45" t="s">
        <v>389</v>
      </c>
      <c r="B210" s="135"/>
      <c r="C210" s="64"/>
      <c r="D210" s="136"/>
      <c r="E210" s="64">
        <v>3</v>
      </c>
      <c r="F210" s="128">
        <f t="shared" si="2"/>
        <v>3</v>
      </c>
      <c r="G210" s="164" t="e">
        <f t="shared" si="3"/>
        <v>#DIV/0!</v>
      </c>
    </row>
    <row r="211" spans="1:7" s="76" customFormat="1" ht="24.75" customHeight="1">
      <c r="A211" s="45" t="s">
        <v>390</v>
      </c>
      <c r="B211" s="135"/>
      <c r="C211" s="64"/>
      <c r="D211" s="136"/>
      <c r="E211" s="64">
        <v>0.5</v>
      </c>
      <c r="F211" s="128">
        <f t="shared" si="2"/>
        <v>0.5</v>
      </c>
      <c r="G211" s="164" t="e">
        <f t="shared" si="3"/>
        <v>#DIV/0!</v>
      </c>
    </row>
    <row r="212" spans="1:7" s="76" customFormat="1" ht="23.25" customHeight="1">
      <c r="A212" s="45" t="s">
        <v>578</v>
      </c>
      <c r="B212" s="135"/>
      <c r="C212" s="64"/>
      <c r="D212" s="136"/>
      <c r="E212" s="64">
        <v>45</v>
      </c>
      <c r="F212" s="128">
        <f t="shared" si="2"/>
        <v>45</v>
      </c>
      <c r="G212" s="164" t="e">
        <f t="shared" si="3"/>
        <v>#DIV/0!</v>
      </c>
    </row>
    <row r="213" spans="1:7" s="76" customFormat="1" ht="23.25" customHeight="1">
      <c r="A213" s="45" t="s">
        <v>577</v>
      </c>
      <c r="B213" s="135"/>
      <c r="C213" s="64"/>
      <c r="D213" s="136"/>
      <c r="E213" s="64">
        <v>108</v>
      </c>
      <c r="F213" s="128">
        <f t="shared" si="2"/>
        <v>108</v>
      </c>
      <c r="G213" s="164" t="e">
        <f t="shared" si="3"/>
        <v>#DIV/0!</v>
      </c>
    </row>
    <row r="214" spans="1:7" s="76" customFormat="1" ht="39" customHeight="1">
      <c r="A214" s="45" t="s">
        <v>585</v>
      </c>
      <c r="B214" s="135"/>
      <c r="C214" s="64"/>
      <c r="D214" s="136"/>
      <c r="E214" s="64">
        <v>39</v>
      </c>
      <c r="F214" s="128">
        <f t="shared" si="2"/>
        <v>39</v>
      </c>
      <c r="G214" s="164" t="e">
        <f t="shared" si="3"/>
        <v>#DIV/0!</v>
      </c>
    </row>
    <row r="215" spans="1:7" s="76" customFormat="1" ht="27" customHeight="1">
      <c r="A215" s="45" t="s">
        <v>586</v>
      </c>
      <c r="B215" s="135"/>
      <c r="C215" s="64"/>
      <c r="D215" s="136"/>
      <c r="E215" s="64">
        <v>3</v>
      </c>
      <c r="F215" s="128">
        <f t="shared" si="2"/>
        <v>3</v>
      </c>
      <c r="G215" s="164" t="e">
        <f t="shared" si="3"/>
        <v>#DIV/0!</v>
      </c>
    </row>
    <row r="216" spans="1:7" s="76" customFormat="1" ht="27.75" customHeight="1">
      <c r="A216" s="45" t="s">
        <v>395</v>
      </c>
      <c r="B216" s="135"/>
      <c r="C216" s="64"/>
      <c r="D216" s="136"/>
      <c r="E216" s="64">
        <v>4</v>
      </c>
      <c r="F216" s="128">
        <f t="shared" si="2"/>
        <v>4</v>
      </c>
      <c r="G216" s="164" t="e">
        <f t="shared" si="3"/>
        <v>#DIV/0!</v>
      </c>
    </row>
    <row r="217" spans="1:7" s="76" customFormat="1" ht="24" customHeight="1">
      <c r="A217" s="45" t="s">
        <v>396</v>
      </c>
      <c r="B217" s="135"/>
      <c r="C217" s="64"/>
      <c r="D217" s="136"/>
      <c r="E217" s="64">
        <v>0.8</v>
      </c>
      <c r="F217" s="128">
        <f t="shared" si="2"/>
        <v>0.8</v>
      </c>
      <c r="G217" s="164" t="e">
        <f t="shared" si="3"/>
        <v>#DIV/0!</v>
      </c>
    </row>
    <row r="218" spans="1:7" s="76" customFormat="1" ht="28.5" customHeight="1">
      <c r="A218" s="45" t="s">
        <v>412</v>
      </c>
      <c r="B218" s="135"/>
      <c r="C218" s="64"/>
      <c r="D218" s="136"/>
      <c r="E218" s="64">
        <v>4</v>
      </c>
      <c r="F218" s="128">
        <f t="shared" si="2"/>
        <v>4</v>
      </c>
      <c r="G218" s="164" t="e">
        <f t="shared" si="3"/>
        <v>#DIV/0!</v>
      </c>
    </row>
    <row r="219" spans="1:7" s="76" customFormat="1" ht="25.5" customHeight="1">
      <c r="A219" s="45" t="s">
        <v>411</v>
      </c>
      <c r="B219" s="135"/>
      <c r="C219" s="64"/>
      <c r="D219" s="136"/>
      <c r="E219" s="64">
        <v>6</v>
      </c>
      <c r="F219" s="128">
        <f t="shared" si="2"/>
        <v>6</v>
      </c>
      <c r="G219" s="164" t="e">
        <f t="shared" si="3"/>
        <v>#DIV/0!</v>
      </c>
    </row>
    <row r="220" spans="1:7" s="76" customFormat="1" ht="27.75" customHeight="1">
      <c r="A220" s="45" t="s">
        <v>588</v>
      </c>
      <c r="B220" s="135"/>
      <c r="C220" s="64"/>
      <c r="D220" s="136"/>
      <c r="E220" s="64">
        <v>1.2</v>
      </c>
      <c r="F220" s="128">
        <f t="shared" si="2"/>
        <v>1.2</v>
      </c>
      <c r="G220" s="164" t="e">
        <f t="shared" si="3"/>
        <v>#DIV/0!</v>
      </c>
    </row>
    <row r="221" spans="1:7" s="76" customFormat="1" ht="26.25" customHeight="1">
      <c r="A221" s="45" t="s">
        <v>589</v>
      </c>
      <c r="B221" s="135"/>
      <c r="C221" s="64"/>
      <c r="D221" s="136"/>
      <c r="E221" s="64">
        <v>3.2</v>
      </c>
      <c r="F221" s="128">
        <f t="shared" si="2"/>
        <v>3.2</v>
      </c>
      <c r="G221" s="164" t="e">
        <f t="shared" si="3"/>
        <v>#DIV/0!</v>
      </c>
    </row>
    <row r="222" spans="1:7" s="76" customFormat="1" ht="28.5" customHeight="1">
      <c r="A222" s="45" t="s">
        <v>590</v>
      </c>
      <c r="B222" s="135"/>
      <c r="C222" s="64"/>
      <c r="D222" s="136"/>
      <c r="E222" s="64">
        <v>2.8</v>
      </c>
      <c r="F222" s="128">
        <f t="shared" si="2"/>
        <v>2.8</v>
      </c>
      <c r="G222" s="164" t="e">
        <f t="shared" si="3"/>
        <v>#DIV/0!</v>
      </c>
    </row>
    <row r="223" spans="1:7" s="76" customFormat="1" ht="39" customHeight="1">
      <c r="A223" s="45" t="s">
        <v>591</v>
      </c>
      <c r="B223" s="135"/>
      <c r="C223" s="64"/>
      <c r="D223" s="136"/>
      <c r="E223" s="64">
        <v>0.7</v>
      </c>
      <c r="F223" s="128">
        <f t="shared" si="2"/>
        <v>0.7</v>
      </c>
      <c r="G223" s="164" t="e">
        <f t="shared" si="3"/>
        <v>#DIV/0!</v>
      </c>
    </row>
    <row r="224" spans="1:7" s="76" customFormat="1" ht="21.75" customHeight="1">
      <c r="A224" s="45" t="s">
        <v>566</v>
      </c>
      <c r="B224" s="135"/>
      <c r="C224" s="64"/>
      <c r="D224" s="136"/>
      <c r="E224" s="64">
        <v>0.7</v>
      </c>
      <c r="F224" s="128">
        <f t="shared" si="2"/>
        <v>0.7</v>
      </c>
      <c r="G224" s="164" t="e">
        <f t="shared" si="3"/>
        <v>#DIV/0!</v>
      </c>
    </row>
    <row r="225" spans="1:11" s="76" customFormat="1" ht="27.75" customHeight="1">
      <c r="A225" s="45" t="s">
        <v>567</v>
      </c>
      <c r="B225" s="135"/>
      <c r="C225" s="64"/>
      <c r="D225" s="136"/>
      <c r="E225" s="64">
        <v>2.2999999999999998</v>
      </c>
      <c r="F225" s="128">
        <f t="shared" si="2"/>
        <v>2.2999999999999998</v>
      </c>
      <c r="G225" s="164" t="e">
        <f t="shared" si="3"/>
        <v>#DIV/0!</v>
      </c>
    </row>
    <row r="226" spans="1:11" s="76" customFormat="1" ht="27" customHeight="1">
      <c r="A226" s="45" t="s">
        <v>592</v>
      </c>
      <c r="B226" s="135"/>
      <c r="C226" s="64"/>
      <c r="D226" s="136"/>
      <c r="E226" s="64">
        <v>0.4</v>
      </c>
      <c r="F226" s="128">
        <f t="shared" si="2"/>
        <v>0.4</v>
      </c>
      <c r="G226" s="164" t="e">
        <f t="shared" si="3"/>
        <v>#DIV/0!</v>
      </c>
    </row>
    <row r="227" spans="1:11" s="76" customFormat="1" ht="27" customHeight="1">
      <c r="A227" s="45" t="s">
        <v>568</v>
      </c>
      <c r="B227" s="135"/>
      <c r="C227" s="64"/>
      <c r="D227" s="136"/>
      <c r="E227" s="64">
        <v>2.2999999999999998</v>
      </c>
      <c r="F227" s="128">
        <f t="shared" si="2"/>
        <v>2.2999999999999998</v>
      </c>
      <c r="G227" s="164" t="e">
        <f t="shared" si="3"/>
        <v>#DIV/0!</v>
      </c>
    </row>
    <row r="228" spans="1:11" s="76" customFormat="1" ht="27" customHeight="1">
      <c r="A228" s="45" t="s">
        <v>526</v>
      </c>
      <c r="B228" s="135"/>
      <c r="C228" s="64"/>
      <c r="D228" s="136"/>
      <c r="E228" s="64">
        <v>4</v>
      </c>
      <c r="F228" s="128">
        <f t="shared" si="2"/>
        <v>4</v>
      </c>
      <c r="G228" s="164" t="e">
        <f t="shared" si="3"/>
        <v>#DIV/0!</v>
      </c>
      <c r="K228" s="161"/>
    </row>
    <row r="229" spans="1:11" s="76" customFormat="1" ht="28.5" customHeight="1">
      <c r="A229" s="45" t="s">
        <v>527</v>
      </c>
      <c r="B229" s="135"/>
      <c r="C229" s="64"/>
      <c r="D229" s="136"/>
      <c r="E229" s="64">
        <v>10.9</v>
      </c>
      <c r="F229" s="128">
        <f t="shared" si="2"/>
        <v>10.9</v>
      </c>
      <c r="G229" s="164" t="e">
        <f t="shared" si="3"/>
        <v>#DIV/0!</v>
      </c>
    </row>
    <row r="230" spans="1:11" s="76" customFormat="1" ht="39" customHeight="1">
      <c r="A230" s="45" t="s">
        <v>593</v>
      </c>
      <c r="B230" s="135"/>
      <c r="C230" s="64"/>
      <c r="D230" s="136"/>
      <c r="E230" s="64">
        <v>12.7</v>
      </c>
      <c r="F230" s="128">
        <f t="shared" si="2"/>
        <v>12.7</v>
      </c>
      <c r="G230" s="164" t="e">
        <f t="shared" si="3"/>
        <v>#DIV/0!</v>
      </c>
    </row>
    <row r="231" spans="1:11" s="76" customFormat="1" ht="24" customHeight="1">
      <c r="A231" s="45" t="s">
        <v>528</v>
      </c>
      <c r="B231" s="135"/>
      <c r="C231" s="64"/>
      <c r="D231" s="136"/>
      <c r="E231" s="64">
        <v>8</v>
      </c>
      <c r="F231" s="128">
        <f t="shared" si="2"/>
        <v>8</v>
      </c>
      <c r="G231" s="164" t="e">
        <f t="shared" si="3"/>
        <v>#DIV/0!</v>
      </c>
    </row>
    <row r="232" spans="1:11" s="76" customFormat="1" ht="39" customHeight="1">
      <c r="A232" s="45" t="s">
        <v>591</v>
      </c>
      <c r="B232" s="135"/>
      <c r="C232" s="64"/>
      <c r="D232" s="136"/>
      <c r="E232" s="64">
        <v>0.7</v>
      </c>
      <c r="F232" s="128">
        <f t="shared" si="2"/>
        <v>0.7</v>
      </c>
      <c r="G232" s="164" t="e">
        <f t="shared" si="3"/>
        <v>#DIV/0!</v>
      </c>
    </row>
    <row r="233" spans="1:11" s="76" customFormat="1" ht="39" customHeight="1">
      <c r="A233" s="45" t="s">
        <v>594</v>
      </c>
      <c r="B233" s="135"/>
      <c r="C233" s="64"/>
      <c r="D233" s="136"/>
      <c r="E233" s="64">
        <v>13.2</v>
      </c>
      <c r="F233" s="128">
        <f t="shared" si="2"/>
        <v>13.2</v>
      </c>
      <c r="G233" s="164" t="e">
        <f t="shared" si="3"/>
        <v>#DIV/0!</v>
      </c>
    </row>
    <row r="234" spans="1:11" s="76" customFormat="1" ht="39" customHeight="1">
      <c r="A234" s="45" t="s">
        <v>532</v>
      </c>
      <c r="B234" s="135"/>
      <c r="C234" s="64"/>
      <c r="D234" s="136"/>
      <c r="E234" s="64">
        <v>31.2</v>
      </c>
      <c r="F234" s="128">
        <f t="shared" si="2"/>
        <v>31.2</v>
      </c>
      <c r="G234" s="164" t="e">
        <f t="shared" si="3"/>
        <v>#DIV/0!</v>
      </c>
    </row>
    <row r="235" spans="1:11" s="76" customFormat="1" ht="39" customHeight="1">
      <c r="A235" s="45" t="s">
        <v>529</v>
      </c>
      <c r="B235" s="135"/>
      <c r="C235" s="64"/>
      <c r="D235" s="136"/>
      <c r="E235" s="64">
        <v>10.7</v>
      </c>
      <c r="F235" s="128">
        <f t="shared" si="2"/>
        <v>10.7</v>
      </c>
      <c r="G235" s="164" t="e">
        <f t="shared" si="3"/>
        <v>#DIV/0!</v>
      </c>
    </row>
    <row r="236" spans="1:11" s="76" customFormat="1" ht="39" customHeight="1">
      <c r="A236" s="45" t="s">
        <v>530</v>
      </c>
      <c r="B236" s="135"/>
      <c r="C236" s="64"/>
      <c r="D236" s="136"/>
      <c r="E236" s="64">
        <v>9.1999999999999993</v>
      </c>
      <c r="F236" s="128">
        <f t="shared" si="2"/>
        <v>9.1999999999999993</v>
      </c>
      <c r="G236" s="164" t="e">
        <f t="shared" si="3"/>
        <v>#DIV/0!</v>
      </c>
    </row>
    <row r="237" spans="1:11" s="76" customFormat="1" ht="39" customHeight="1">
      <c r="A237" s="45" t="s">
        <v>569</v>
      </c>
      <c r="B237" s="135"/>
      <c r="C237" s="64"/>
      <c r="D237" s="136"/>
      <c r="E237" s="64">
        <v>14.1</v>
      </c>
      <c r="F237" s="128">
        <f t="shared" ref="F237:F245" si="11">E237-D237</f>
        <v>14.1</v>
      </c>
      <c r="G237" s="164" t="e">
        <f t="shared" ref="G237:G245" si="12">(E237/D237)*100</f>
        <v>#DIV/0!</v>
      </c>
    </row>
    <row r="238" spans="1:11" s="76" customFormat="1" ht="25.5" customHeight="1">
      <c r="A238" s="45" t="s">
        <v>570</v>
      </c>
      <c r="B238" s="135"/>
      <c r="C238" s="64"/>
      <c r="D238" s="136"/>
      <c r="E238" s="64">
        <v>15.3</v>
      </c>
      <c r="F238" s="128">
        <f t="shared" si="11"/>
        <v>15.3</v>
      </c>
      <c r="G238" s="164" t="e">
        <f t="shared" si="12"/>
        <v>#DIV/0!</v>
      </c>
    </row>
    <row r="239" spans="1:11" ht="24.75" customHeight="1">
      <c r="A239" s="130" t="s">
        <v>649</v>
      </c>
      <c r="B239" s="131">
        <v>3270</v>
      </c>
      <c r="C239" s="136">
        <f>C240+C241</f>
        <v>552.29999999999995</v>
      </c>
      <c r="D239" s="136">
        <f t="shared" ref="D239" si="13">D240+D241</f>
        <v>2000</v>
      </c>
      <c r="E239" s="136">
        <f>E240+E241</f>
        <v>999.9</v>
      </c>
      <c r="F239" s="136">
        <f t="shared" si="11"/>
        <v>-1000.1</v>
      </c>
      <c r="G239" s="146">
        <f t="shared" si="12"/>
        <v>49.994999999999997</v>
      </c>
    </row>
    <row r="240" spans="1:11" ht="76.5" customHeight="1">
      <c r="A240" s="65" t="s">
        <v>218</v>
      </c>
      <c r="B240" s="131"/>
      <c r="C240" s="64">
        <v>274.2</v>
      </c>
      <c r="D240" s="128">
        <v>2000</v>
      </c>
      <c r="E240" s="128">
        <v>999.9</v>
      </c>
      <c r="F240" s="128">
        <f t="shared" si="11"/>
        <v>-1000.1</v>
      </c>
      <c r="G240" s="129">
        <f t="shared" si="12"/>
        <v>49.994999999999997</v>
      </c>
    </row>
    <row r="241" spans="1:7" ht="61.5" customHeight="1">
      <c r="A241" s="74" t="s">
        <v>503</v>
      </c>
      <c r="B241" s="131"/>
      <c r="C241" s="64">
        <v>278.10000000000002</v>
      </c>
      <c r="D241" s="132"/>
      <c r="E241" s="132"/>
      <c r="F241" s="128">
        <f t="shared" si="11"/>
        <v>0</v>
      </c>
      <c r="G241" s="164" t="e">
        <f t="shared" si="12"/>
        <v>#DIV/0!</v>
      </c>
    </row>
    <row r="242" spans="1:7" ht="24" customHeight="1">
      <c r="A242" s="126" t="s">
        <v>650</v>
      </c>
      <c r="B242" s="194"/>
      <c r="C242" s="162">
        <f>C243</f>
        <v>30.1</v>
      </c>
      <c r="D242" s="162">
        <f t="shared" ref="D242:E242" si="14">D243</f>
        <v>24.6</v>
      </c>
      <c r="E242" s="162">
        <f t="shared" si="14"/>
        <v>0</v>
      </c>
      <c r="F242" s="162">
        <f t="shared" si="11"/>
        <v>-24.6</v>
      </c>
      <c r="G242" s="163">
        <f t="shared" si="12"/>
        <v>0</v>
      </c>
    </row>
    <row r="243" spans="1:7" ht="36" customHeight="1">
      <c r="A243" s="130" t="s">
        <v>651</v>
      </c>
      <c r="B243" s="131"/>
      <c r="C243" s="136">
        <f>C244</f>
        <v>30.1</v>
      </c>
      <c r="D243" s="136">
        <f t="shared" ref="D243:E243" si="15">D244</f>
        <v>24.6</v>
      </c>
      <c r="E243" s="136">
        <f t="shared" si="15"/>
        <v>0</v>
      </c>
      <c r="F243" s="136">
        <f t="shared" si="11"/>
        <v>-24.6</v>
      </c>
      <c r="G243" s="146">
        <f t="shared" si="12"/>
        <v>0</v>
      </c>
    </row>
    <row r="244" spans="1:7" ht="24.75" customHeight="1">
      <c r="A244" s="134" t="s">
        <v>641</v>
      </c>
      <c r="B244" s="127">
        <v>3340</v>
      </c>
      <c r="C244" s="132">
        <f>C245</f>
        <v>30.1</v>
      </c>
      <c r="D244" s="132">
        <f t="shared" ref="D244:E244" si="16">D245</f>
        <v>24.6</v>
      </c>
      <c r="E244" s="132">
        <f t="shared" si="16"/>
        <v>0</v>
      </c>
      <c r="F244" s="128">
        <f t="shared" si="11"/>
        <v>-24.6</v>
      </c>
      <c r="G244" s="129">
        <f t="shared" si="12"/>
        <v>0</v>
      </c>
    </row>
    <row r="245" spans="1:7" ht="41.25" customHeight="1">
      <c r="A245" s="134" t="s">
        <v>656</v>
      </c>
      <c r="B245" s="127"/>
      <c r="C245" s="128">
        <v>30.1</v>
      </c>
      <c r="D245" s="128">
        <v>24.6</v>
      </c>
      <c r="E245" s="128"/>
      <c r="F245" s="128">
        <f t="shared" si="11"/>
        <v>-24.6</v>
      </c>
      <c r="G245" s="129">
        <f t="shared" si="12"/>
        <v>0</v>
      </c>
    </row>
    <row r="246" spans="1:7" s="76" customFormat="1" ht="19.5" customHeight="1">
      <c r="A246" s="137"/>
      <c r="B246" s="138"/>
      <c r="C246" s="8"/>
      <c r="D246" s="8"/>
      <c r="E246" s="8"/>
      <c r="F246" s="8"/>
      <c r="G246" s="139"/>
    </row>
    <row r="247" spans="1:7" ht="26.25" customHeight="1">
      <c r="A247" s="150" t="s">
        <v>713</v>
      </c>
      <c r="B247" s="6"/>
      <c r="C247" s="202"/>
      <c r="D247" s="202"/>
      <c r="E247" s="116"/>
      <c r="F247" s="207" t="s">
        <v>682</v>
      </c>
      <c r="G247" s="207"/>
    </row>
    <row r="248" spans="1:7">
      <c r="A248" s="114" t="s">
        <v>59</v>
      </c>
      <c r="B248" s="7"/>
      <c r="C248" s="208" t="s">
        <v>65</v>
      </c>
      <c r="D248" s="208"/>
      <c r="E248" s="115"/>
      <c r="F248" s="200" t="s">
        <v>17</v>
      </c>
      <c r="G248" s="200"/>
    </row>
    <row r="249" spans="1:7">
      <c r="A249" s="140"/>
      <c r="B249" s="141"/>
      <c r="C249" s="142"/>
      <c r="D249" s="143"/>
      <c r="E249" s="143"/>
      <c r="F249" s="143"/>
    </row>
    <row r="250" spans="1:7">
      <c r="A250" s="140"/>
      <c r="B250" s="141"/>
      <c r="C250" s="142"/>
      <c r="D250" s="143"/>
      <c r="E250" s="143"/>
      <c r="F250" s="143"/>
    </row>
    <row r="251" spans="1:7">
      <c r="A251" s="140"/>
      <c r="B251" s="141"/>
      <c r="C251" s="142"/>
      <c r="D251" s="143"/>
      <c r="E251" s="143"/>
      <c r="F251" s="143"/>
    </row>
    <row r="252" spans="1:7">
      <c r="A252" s="140"/>
      <c r="B252" s="141"/>
      <c r="C252" s="142"/>
      <c r="D252" s="143"/>
      <c r="E252" s="143"/>
      <c r="F252" s="143"/>
    </row>
    <row r="253" spans="1:7">
      <c r="A253" s="140"/>
      <c r="B253" s="141"/>
      <c r="C253" s="142"/>
      <c r="D253" s="143"/>
      <c r="E253" s="143"/>
      <c r="F253" s="143"/>
    </row>
    <row r="254" spans="1:7">
      <c r="A254" s="140"/>
      <c r="B254" s="141"/>
      <c r="C254" s="142"/>
      <c r="D254" s="143"/>
      <c r="E254" s="143"/>
      <c r="F254" s="143"/>
    </row>
    <row r="255" spans="1:7">
      <c r="A255" s="140"/>
      <c r="B255" s="141"/>
      <c r="C255" s="142"/>
      <c r="D255" s="143"/>
      <c r="E255" s="143"/>
      <c r="F255" s="143"/>
    </row>
    <row r="256" spans="1:7">
      <c r="A256" s="140"/>
      <c r="B256" s="141"/>
      <c r="C256" s="142"/>
      <c r="D256" s="143"/>
      <c r="E256" s="143"/>
      <c r="F256" s="143"/>
    </row>
    <row r="257" spans="1:6">
      <c r="A257" s="140"/>
      <c r="B257" s="141"/>
      <c r="C257" s="142"/>
      <c r="D257" s="143"/>
      <c r="E257" s="143"/>
      <c r="F257" s="143"/>
    </row>
    <row r="258" spans="1:6">
      <c r="A258" s="140"/>
      <c r="B258" s="141"/>
      <c r="C258" s="142"/>
      <c r="D258" s="143"/>
      <c r="E258" s="143"/>
      <c r="F258" s="143"/>
    </row>
    <row r="259" spans="1:6">
      <c r="A259" s="140"/>
      <c r="B259" s="141"/>
      <c r="C259" s="142"/>
      <c r="D259" s="143"/>
      <c r="E259" s="143"/>
      <c r="F259" s="143"/>
    </row>
    <row r="260" spans="1:6">
      <c r="A260" s="140"/>
      <c r="B260" s="141"/>
      <c r="C260" s="142"/>
      <c r="D260" s="143"/>
      <c r="E260" s="143"/>
      <c r="F260" s="143"/>
    </row>
    <row r="261" spans="1:6">
      <c r="A261" s="140"/>
      <c r="B261" s="141"/>
      <c r="C261" s="142"/>
      <c r="D261" s="143"/>
      <c r="E261" s="143"/>
      <c r="F261" s="143"/>
    </row>
    <row r="262" spans="1:6">
      <c r="A262" s="140"/>
      <c r="B262" s="141"/>
      <c r="C262" s="142"/>
      <c r="D262" s="143"/>
      <c r="E262" s="143"/>
      <c r="F262" s="143"/>
    </row>
    <row r="263" spans="1:6">
      <c r="A263" s="140"/>
      <c r="B263" s="141"/>
      <c r="C263" s="142"/>
      <c r="D263" s="143"/>
      <c r="E263" s="143"/>
      <c r="F263" s="143"/>
    </row>
    <row r="264" spans="1:6">
      <c r="A264" s="140"/>
      <c r="B264" s="141"/>
      <c r="C264" s="142"/>
      <c r="D264" s="143"/>
      <c r="E264" s="143"/>
      <c r="F264" s="143"/>
    </row>
    <row r="265" spans="1:6">
      <c r="A265" s="140"/>
      <c r="B265" s="141"/>
      <c r="C265" s="142"/>
      <c r="D265" s="143"/>
      <c r="E265" s="143"/>
      <c r="F265" s="143"/>
    </row>
    <row r="266" spans="1:6">
      <c r="A266" s="140"/>
      <c r="B266" s="141"/>
      <c r="C266" s="142"/>
      <c r="D266" s="143"/>
      <c r="E266" s="143"/>
      <c r="F266" s="143"/>
    </row>
    <row r="267" spans="1:6">
      <c r="A267" s="140"/>
      <c r="B267" s="141"/>
      <c r="C267" s="142"/>
      <c r="D267" s="143"/>
      <c r="E267" s="143"/>
      <c r="F267" s="143"/>
    </row>
    <row r="268" spans="1:6">
      <c r="A268" s="140"/>
      <c r="B268" s="141"/>
      <c r="C268" s="142"/>
      <c r="D268" s="143"/>
      <c r="E268" s="143"/>
      <c r="F268" s="143"/>
    </row>
    <row r="269" spans="1:6">
      <c r="A269" s="140"/>
      <c r="B269" s="141"/>
      <c r="C269" s="142"/>
      <c r="D269" s="143"/>
      <c r="E269" s="143"/>
      <c r="F269" s="143"/>
    </row>
    <row r="270" spans="1:6">
      <c r="A270" s="140"/>
      <c r="B270" s="141"/>
      <c r="C270" s="142"/>
      <c r="D270" s="143"/>
      <c r="E270" s="143"/>
      <c r="F270" s="143"/>
    </row>
    <row r="271" spans="1:6">
      <c r="A271" s="140"/>
      <c r="B271" s="141"/>
      <c r="C271" s="142"/>
      <c r="D271" s="143"/>
      <c r="E271" s="143"/>
      <c r="F271" s="143"/>
    </row>
    <row r="272" spans="1:6">
      <c r="A272" s="140"/>
      <c r="B272" s="141"/>
      <c r="C272" s="142"/>
      <c r="D272" s="143"/>
      <c r="E272" s="143"/>
      <c r="F272" s="143"/>
    </row>
    <row r="273" spans="1:6">
      <c r="A273" s="140"/>
      <c r="B273" s="141"/>
      <c r="C273" s="142"/>
      <c r="D273" s="143"/>
      <c r="E273" s="143"/>
      <c r="F273" s="143"/>
    </row>
    <row r="274" spans="1:6">
      <c r="A274" s="140"/>
      <c r="B274" s="141"/>
      <c r="C274" s="142"/>
      <c r="D274" s="143"/>
      <c r="E274" s="143"/>
      <c r="F274" s="143"/>
    </row>
    <row r="275" spans="1:6">
      <c r="A275" s="140"/>
      <c r="B275" s="141"/>
      <c r="C275" s="142"/>
      <c r="D275" s="143"/>
      <c r="E275" s="143"/>
      <c r="F275" s="143"/>
    </row>
    <row r="276" spans="1:6">
      <c r="A276" s="140"/>
      <c r="B276" s="141"/>
      <c r="C276" s="142"/>
      <c r="D276" s="143"/>
      <c r="E276" s="143"/>
      <c r="F276" s="143"/>
    </row>
    <row r="277" spans="1:6">
      <c r="A277" s="140"/>
      <c r="B277" s="141"/>
      <c r="C277" s="142"/>
      <c r="D277" s="143"/>
      <c r="E277" s="143"/>
      <c r="F277" s="143"/>
    </row>
    <row r="278" spans="1:6">
      <c r="A278" s="140"/>
      <c r="B278" s="141"/>
      <c r="C278" s="142"/>
      <c r="D278" s="143"/>
      <c r="E278" s="143"/>
      <c r="F278" s="143"/>
    </row>
    <row r="279" spans="1:6">
      <c r="A279" s="140"/>
      <c r="B279" s="141"/>
      <c r="C279" s="142"/>
      <c r="D279" s="143"/>
      <c r="E279" s="143"/>
      <c r="F279" s="143"/>
    </row>
    <row r="280" spans="1:6">
      <c r="A280" s="140"/>
      <c r="C280" s="91"/>
      <c r="D280" s="92"/>
      <c r="E280" s="92"/>
      <c r="F280" s="92"/>
    </row>
    <row r="281" spans="1:6">
      <c r="A281" s="90"/>
      <c r="C281" s="91"/>
      <c r="D281" s="92"/>
      <c r="E281" s="92"/>
      <c r="F281" s="92"/>
    </row>
    <row r="282" spans="1:6">
      <c r="A282" s="90"/>
      <c r="C282" s="91"/>
      <c r="D282" s="92"/>
      <c r="E282" s="92"/>
      <c r="F282" s="92"/>
    </row>
    <row r="283" spans="1:6">
      <c r="A283" s="90"/>
      <c r="C283" s="91"/>
      <c r="D283" s="92"/>
      <c r="E283" s="92"/>
      <c r="F283" s="92"/>
    </row>
    <row r="284" spans="1:6">
      <c r="A284" s="90"/>
      <c r="C284" s="91"/>
      <c r="D284" s="92"/>
      <c r="E284" s="92"/>
      <c r="F284" s="92"/>
    </row>
    <row r="285" spans="1:6">
      <c r="A285" s="90"/>
      <c r="C285" s="91"/>
      <c r="D285" s="92"/>
      <c r="E285" s="92"/>
      <c r="F285" s="92"/>
    </row>
    <row r="286" spans="1:6">
      <c r="A286" s="90"/>
      <c r="C286" s="91"/>
      <c r="D286" s="92"/>
      <c r="E286" s="92"/>
      <c r="F286" s="92"/>
    </row>
    <row r="287" spans="1:6">
      <c r="A287" s="90"/>
      <c r="C287" s="91"/>
      <c r="D287" s="92"/>
      <c r="E287" s="92"/>
      <c r="F287" s="92"/>
    </row>
    <row r="288" spans="1:6">
      <c r="A288" s="90"/>
      <c r="C288" s="91"/>
      <c r="D288" s="92"/>
      <c r="E288" s="92"/>
      <c r="F288" s="92"/>
    </row>
    <row r="289" spans="1:6">
      <c r="A289" s="90"/>
      <c r="C289" s="91"/>
      <c r="D289" s="92"/>
      <c r="E289" s="92"/>
      <c r="F289" s="92"/>
    </row>
    <row r="290" spans="1:6">
      <c r="A290" s="90"/>
      <c r="C290" s="91"/>
      <c r="D290" s="92"/>
      <c r="E290" s="92"/>
      <c r="F290" s="92"/>
    </row>
    <row r="291" spans="1:6">
      <c r="A291" s="90"/>
      <c r="C291" s="91"/>
      <c r="D291" s="92"/>
      <c r="E291" s="92"/>
      <c r="F291" s="92"/>
    </row>
    <row r="292" spans="1:6">
      <c r="A292" s="90"/>
      <c r="C292" s="91"/>
      <c r="D292" s="92"/>
      <c r="E292" s="92"/>
      <c r="F292" s="92"/>
    </row>
    <row r="293" spans="1:6">
      <c r="A293" s="90"/>
      <c r="C293" s="91"/>
      <c r="D293" s="92"/>
      <c r="E293" s="92"/>
      <c r="F293" s="92"/>
    </row>
    <row r="294" spans="1:6">
      <c r="A294" s="90"/>
      <c r="C294" s="91"/>
      <c r="D294" s="92"/>
      <c r="E294" s="92"/>
      <c r="F294" s="92"/>
    </row>
    <row r="295" spans="1:6">
      <c r="A295" s="90"/>
      <c r="C295" s="91"/>
      <c r="D295" s="92"/>
      <c r="E295" s="92"/>
      <c r="F295" s="92"/>
    </row>
    <row r="296" spans="1:6">
      <c r="A296" s="90"/>
      <c r="C296" s="91"/>
      <c r="D296" s="92"/>
      <c r="E296" s="92"/>
      <c r="F296" s="92"/>
    </row>
    <row r="297" spans="1:6">
      <c r="A297" s="90"/>
      <c r="C297" s="91"/>
      <c r="D297" s="92"/>
      <c r="E297" s="92"/>
      <c r="F297" s="92"/>
    </row>
    <row r="298" spans="1:6">
      <c r="A298" s="90"/>
      <c r="C298" s="91"/>
      <c r="D298" s="92"/>
      <c r="E298" s="92"/>
      <c r="F298" s="92"/>
    </row>
    <row r="299" spans="1:6">
      <c r="A299" s="90"/>
      <c r="C299" s="91"/>
      <c r="D299" s="92"/>
      <c r="E299" s="92"/>
      <c r="F299" s="92"/>
    </row>
    <row r="300" spans="1:6">
      <c r="A300" s="90"/>
      <c r="C300" s="91"/>
      <c r="D300" s="92"/>
      <c r="E300" s="92"/>
      <c r="F300" s="92"/>
    </row>
    <row r="301" spans="1:6">
      <c r="A301" s="90"/>
      <c r="C301" s="91"/>
      <c r="D301" s="92"/>
      <c r="E301" s="92"/>
      <c r="F301" s="92"/>
    </row>
    <row r="302" spans="1:6">
      <c r="A302" s="90"/>
      <c r="C302" s="91"/>
      <c r="D302" s="92"/>
      <c r="E302" s="92"/>
      <c r="F302" s="92"/>
    </row>
    <row r="303" spans="1:6">
      <c r="A303" s="90"/>
    </row>
    <row r="304" spans="1:6">
      <c r="A304" s="93"/>
    </row>
    <row r="305" spans="1:1">
      <c r="A305" s="93"/>
    </row>
    <row r="306" spans="1:1">
      <c r="A306" s="93"/>
    </row>
    <row r="307" spans="1:1">
      <c r="A307" s="93"/>
    </row>
    <row r="308" spans="1:1">
      <c r="A308" s="93"/>
    </row>
    <row r="309" spans="1:1">
      <c r="A309" s="93"/>
    </row>
    <row r="310" spans="1:1">
      <c r="A310" s="93"/>
    </row>
    <row r="311" spans="1:1">
      <c r="A311" s="93"/>
    </row>
    <row r="312" spans="1:1">
      <c r="A312" s="93"/>
    </row>
    <row r="313" spans="1:1">
      <c r="A313" s="93"/>
    </row>
    <row r="314" spans="1:1">
      <c r="A314" s="93"/>
    </row>
    <row r="315" spans="1:1">
      <c r="A315" s="93"/>
    </row>
    <row r="316" spans="1:1">
      <c r="A316" s="93"/>
    </row>
    <row r="317" spans="1:1">
      <c r="A317" s="93"/>
    </row>
    <row r="318" spans="1:1">
      <c r="A318" s="93"/>
    </row>
    <row r="319" spans="1:1">
      <c r="A319" s="93"/>
    </row>
    <row r="320" spans="1:1">
      <c r="A320" s="93"/>
    </row>
    <row r="321" spans="1:1">
      <c r="A321" s="93"/>
    </row>
    <row r="322" spans="1:1">
      <c r="A322" s="93"/>
    </row>
    <row r="323" spans="1:1">
      <c r="A323" s="93"/>
    </row>
    <row r="324" spans="1:1">
      <c r="A324" s="93"/>
    </row>
    <row r="325" spans="1:1">
      <c r="A325" s="93"/>
    </row>
    <row r="326" spans="1:1">
      <c r="A326" s="93"/>
    </row>
    <row r="327" spans="1:1">
      <c r="A327" s="93"/>
    </row>
    <row r="328" spans="1:1">
      <c r="A328" s="93"/>
    </row>
    <row r="329" spans="1:1">
      <c r="A329" s="93"/>
    </row>
    <row r="330" spans="1:1">
      <c r="A330" s="93"/>
    </row>
    <row r="331" spans="1:1">
      <c r="A331" s="93"/>
    </row>
    <row r="332" spans="1:1">
      <c r="A332" s="93"/>
    </row>
    <row r="333" spans="1:1">
      <c r="A333" s="93"/>
    </row>
    <row r="334" spans="1:1">
      <c r="A334" s="93"/>
    </row>
    <row r="335" spans="1:1">
      <c r="A335" s="93"/>
    </row>
    <row r="336" spans="1:1">
      <c r="A336" s="93"/>
    </row>
    <row r="337" spans="1:1">
      <c r="A337" s="93"/>
    </row>
    <row r="338" spans="1:1">
      <c r="A338" s="93"/>
    </row>
    <row r="339" spans="1:1">
      <c r="A339" s="93"/>
    </row>
    <row r="340" spans="1:1">
      <c r="A340" s="93"/>
    </row>
    <row r="341" spans="1:1">
      <c r="A341" s="93"/>
    </row>
    <row r="342" spans="1:1">
      <c r="A342" s="93"/>
    </row>
    <row r="343" spans="1:1">
      <c r="A343" s="93"/>
    </row>
    <row r="344" spans="1:1">
      <c r="A344" s="93"/>
    </row>
    <row r="345" spans="1:1">
      <c r="A345" s="93"/>
    </row>
    <row r="346" spans="1:1">
      <c r="A346" s="93"/>
    </row>
    <row r="347" spans="1:1">
      <c r="A347" s="93"/>
    </row>
    <row r="348" spans="1:1">
      <c r="A348" s="93"/>
    </row>
    <row r="349" spans="1:1">
      <c r="A349" s="93"/>
    </row>
    <row r="350" spans="1:1">
      <c r="A350" s="93"/>
    </row>
    <row r="351" spans="1:1">
      <c r="A351" s="93"/>
    </row>
    <row r="352" spans="1:1">
      <c r="A352" s="93"/>
    </row>
    <row r="353" spans="1:1">
      <c r="A353" s="93"/>
    </row>
    <row r="354" spans="1:1">
      <c r="A354" s="93"/>
    </row>
    <row r="355" spans="1:1">
      <c r="A355" s="93"/>
    </row>
    <row r="356" spans="1:1">
      <c r="A356" s="93"/>
    </row>
    <row r="357" spans="1:1">
      <c r="A357" s="93"/>
    </row>
    <row r="358" spans="1:1">
      <c r="A358" s="93"/>
    </row>
    <row r="359" spans="1:1">
      <c r="A359" s="93"/>
    </row>
    <row r="360" spans="1:1">
      <c r="A360" s="93"/>
    </row>
    <row r="361" spans="1:1">
      <c r="A361" s="93"/>
    </row>
    <row r="362" spans="1:1">
      <c r="A362" s="93"/>
    </row>
    <row r="363" spans="1:1">
      <c r="A363" s="93"/>
    </row>
    <row r="364" spans="1:1">
      <c r="A364" s="93"/>
    </row>
    <row r="365" spans="1:1">
      <c r="A365" s="93"/>
    </row>
    <row r="366" spans="1:1">
      <c r="A366" s="93"/>
    </row>
    <row r="367" spans="1:1">
      <c r="A367" s="93"/>
    </row>
    <row r="368" spans="1:1">
      <c r="A368" s="93"/>
    </row>
    <row r="369" spans="1:1">
      <c r="A369" s="93"/>
    </row>
    <row r="370" spans="1:1">
      <c r="A370" s="93"/>
    </row>
    <row r="371" spans="1:1">
      <c r="A371" s="93"/>
    </row>
    <row r="372" spans="1:1">
      <c r="A372" s="93"/>
    </row>
    <row r="373" spans="1:1">
      <c r="A373" s="93"/>
    </row>
    <row r="374" spans="1:1">
      <c r="A374" s="93"/>
    </row>
    <row r="375" spans="1:1">
      <c r="A375" s="93"/>
    </row>
    <row r="376" spans="1:1">
      <c r="A376" s="93"/>
    </row>
    <row r="377" spans="1:1">
      <c r="A377" s="93"/>
    </row>
    <row r="378" spans="1:1">
      <c r="A378" s="93"/>
    </row>
    <row r="379" spans="1:1">
      <c r="A379" s="93"/>
    </row>
    <row r="380" spans="1:1">
      <c r="A380" s="93"/>
    </row>
    <row r="381" spans="1:1">
      <c r="A381" s="93"/>
    </row>
    <row r="382" spans="1:1">
      <c r="A382" s="93"/>
    </row>
    <row r="383" spans="1:1">
      <c r="A383" s="93"/>
    </row>
    <row r="384" spans="1:1">
      <c r="A384" s="93"/>
    </row>
    <row r="385" spans="1:1">
      <c r="A385" s="93"/>
    </row>
    <row r="386" spans="1:1">
      <c r="A386" s="93"/>
    </row>
    <row r="387" spans="1:1">
      <c r="A387" s="93"/>
    </row>
    <row r="388" spans="1:1">
      <c r="A388" s="93"/>
    </row>
    <row r="389" spans="1:1">
      <c r="A389" s="93"/>
    </row>
    <row r="390" spans="1:1">
      <c r="A390" s="93"/>
    </row>
    <row r="391" spans="1:1">
      <c r="A391" s="93"/>
    </row>
    <row r="392" spans="1:1">
      <c r="A392" s="93"/>
    </row>
    <row r="393" spans="1:1">
      <c r="A393" s="93"/>
    </row>
    <row r="394" spans="1:1">
      <c r="A394" s="93"/>
    </row>
    <row r="395" spans="1:1">
      <c r="A395" s="93"/>
    </row>
    <row r="396" spans="1:1">
      <c r="A396" s="93"/>
    </row>
    <row r="397" spans="1:1">
      <c r="A397" s="93"/>
    </row>
    <row r="398" spans="1:1">
      <c r="A398" s="93"/>
    </row>
    <row r="399" spans="1:1">
      <c r="A399" s="93"/>
    </row>
    <row r="400" spans="1:1">
      <c r="A400" s="93"/>
    </row>
    <row r="401" spans="1:1">
      <c r="A401" s="93"/>
    </row>
    <row r="402" spans="1:1">
      <c r="A402" s="93"/>
    </row>
    <row r="403" spans="1:1">
      <c r="A403" s="93"/>
    </row>
    <row r="404" spans="1:1">
      <c r="A404" s="93"/>
    </row>
    <row r="405" spans="1:1">
      <c r="A405" s="93"/>
    </row>
    <row r="406" spans="1:1">
      <c r="A406" s="93"/>
    </row>
    <row r="407" spans="1:1">
      <c r="A407" s="93"/>
    </row>
    <row r="408" spans="1:1">
      <c r="A408" s="93"/>
    </row>
    <row r="409" spans="1:1">
      <c r="A409" s="93"/>
    </row>
    <row r="410" spans="1:1">
      <c r="A410" s="93"/>
    </row>
    <row r="411" spans="1:1">
      <c r="A411" s="93"/>
    </row>
    <row r="412" spans="1:1">
      <c r="A412" s="93"/>
    </row>
    <row r="413" spans="1:1">
      <c r="A413" s="93"/>
    </row>
    <row r="414" spans="1:1">
      <c r="A414" s="93"/>
    </row>
    <row r="415" spans="1:1">
      <c r="A415" s="93"/>
    </row>
    <row r="416" spans="1:1">
      <c r="A416" s="93"/>
    </row>
    <row r="417" spans="1:1">
      <c r="A417" s="93"/>
    </row>
    <row r="418" spans="1:1">
      <c r="A418" s="93"/>
    </row>
    <row r="419" spans="1:1">
      <c r="A419" s="93"/>
    </row>
    <row r="420" spans="1:1">
      <c r="A420" s="93"/>
    </row>
    <row r="421" spans="1:1">
      <c r="A421" s="93"/>
    </row>
    <row r="422" spans="1:1">
      <c r="A422" s="93"/>
    </row>
    <row r="423" spans="1:1">
      <c r="A423" s="93"/>
    </row>
    <row r="424" spans="1:1">
      <c r="A424" s="93"/>
    </row>
    <row r="425" spans="1:1">
      <c r="A425" s="93"/>
    </row>
    <row r="426" spans="1:1">
      <c r="A426" s="93"/>
    </row>
    <row r="427" spans="1:1">
      <c r="A427" s="93"/>
    </row>
    <row r="428" spans="1:1">
      <c r="A428" s="93"/>
    </row>
    <row r="429" spans="1:1">
      <c r="A429" s="93"/>
    </row>
    <row r="430" spans="1:1">
      <c r="A430" s="93"/>
    </row>
    <row r="431" spans="1:1">
      <c r="A431" s="93"/>
    </row>
    <row r="432" spans="1:1">
      <c r="A432" s="93"/>
    </row>
    <row r="433" spans="1:1">
      <c r="A433" s="93"/>
    </row>
    <row r="434" spans="1:1">
      <c r="A434" s="93"/>
    </row>
    <row r="435" spans="1:1">
      <c r="A435" s="93"/>
    </row>
    <row r="436" spans="1:1">
      <c r="A436" s="93"/>
    </row>
    <row r="437" spans="1:1">
      <c r="A437" s="93"/>
    </row>
    <row r="438" spans="1:1">
      <c r="A438" s="93"/>
    </row>
    <row r="439" spans="1:1">
      <c r="A439" s="93"/>
    </row>
    <row r="440" spans="1:1">
      <c r="A440" s="93"/>
    </row>
    <row r="441" spans="1:1">
      <c r="A441" s="93"/>
    </row>
    <row r="442" spans="1:1">
      <c r="A442" s="93"/>
    </row>
    <row r="443" spans="1:1">
      <c r="A443" s="93"/>
    </row>
    <row r="444" spans="1:1">
      <c r="A444" s="93"/>
    </row>
    <row r="445" spans="1:1">
      <c r="A445" s="93"/>
    </row>
    <row r="446" spans="1:1">
      <c r="A446" s="93"/>
    </row>
    <row r="447" spans="1:1">
      <c r="A447" s="93"/>
    </row>
    <row r="448" spans="1:1">
      <c r="A448" s="93"/>
    </row>
    <row r="449" spans="1:1">
      <c r="A449" s="93"/>
    </row>
    <row r="450" spans="1:1">
      <c r="A450" s="93"/>
    </row>
    <row r="451" spans="1:1">
      <c r="A451" s="93"/>
    </row>
    <row r="452" spans="1:1">
      <c r="A452" s="93"/>
    </row>
    <row r="453" spans="1:1">
      <c r="A453" s="93"/>
    </row>
    <row r="454" spans="1:1">
      <c r="A454" s="93"/>
    </row>
    <row r="455" spans="1:1">
      <c r="A455" s="93"/>
    </row>
    <row r="456" spans="1:1">
      <c r="A456" s="93"/>
    </row>
    <row r="457" spans="1:1">
      <c r="A457" s="93"/>
    </row>
    <row r="458" spans="1:1">
      <c r="A458" s="93"/>
    </row>
    <row r="459" spans="1:1">
      <c r="A459" s="93"/>
    </row>
    <row r="460" spans="1:1">
      <c r="A460" s="93"/>
    </row>
    <row r="461" spans="1:1">
      <c r="A461" s="93"/>
    </row>
    <row r="462" spans="1:1">
      <c r="A462" s="93"/>
    </row>
    <row r="463" spans="1:1">
      <c r="A463" s="93"/>
    </row>
    <row r="464" spans="1:1">
      <c r="A464" s="93"/>
    </row>
    <row r="465" spans="1:1">
      <c r="A465" s="93"/>
    </row>
    <row r="466" spans="1:1">
      <c r="A466" s="93"/>
    </row>
    <row r="467" spans="1:1">
      <c r="A467" s="93"/>
    </row>
    <row r="468" spans="1:1">
      <c r="A468" s="93"/>
    </row>
    <row r="469" spans="1:1">
      <c r="A469" s="93"/>
    </row>
    <row r="470" spans="1:1">
      <c r="A470" s="93"/>
    </row>
  </sheetData>
  <mergeCells count="5">
    <mergeCell ref="A2:F2"/>
    <mergeCell ref="C247:D247"/>
    <mergeCell ref="F247:G247"/>
    <mergeCell ref="C248:D248"/>
    <mergeCell ref="F248:G248"/>
  </mergeCells>
  <pageMargins left="0.39370078740157483" right="0.39370078740157483" top="0.78740157480314965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T454"/>
  <sheetViews>
    <sheetView view="pageBreakPreview" topLeftCell="A217" zoomScale="80" zoomScaleSheetLayoutView="80" workbookViewId="0">
      <selection activeCell="M229" sqref="M229"/>
    </sheetView>
  </sheetViews>
  <sheetFormatPr defaultColWidth="9.140625" defaultRowHeight="18.75"/>
  <cols>
    <col min="1" max="1" width="60.28515625" style="49" customWidth="1"/>
    <col min="2" max="2" width="12" style="89" customWidth="1"/>
    <col min="3" max="3" width="16.140625" style="89" customWidth="1"/>
    <col min="4" max="4" width="16.7109375" style="89" customWidth="1"/>
    <col min="5" max="5" width="16.140625" style="89" customWidth="1"/>
    <col min="6" max="6" width="16" style="89" customWidth="1"/>
    <col min="7" max="7" width="16.42578125" style="49" customWidth="1"/>
    <col min="8" max="9" width="9.140625" style="49"/>
    <col min="10" max="10" width="10.5703125" style="49" bestFit="1" customWidth="1"/>
    <col min="11" max="11" width="15.5703125" style="49" bestFit="1" customWidth="1"/>
    <col min="12" max="12" width="11.140625" style="49" bestFit="1" customWidth="1"/>
    <col min="13" max="13" width="15.5703125" style="49" bestFit="1" customWidth="1"/>
    <col min="14" max="19" width="9.140625" style="49"/>
    <col min="20" max="20" width="12" style="49" bestFit="1" customWidth="1"/>
    <col min="21" max="16384" width="9.140625" style="49"/>
  </cols>
  <sheetData>
    <row r="1" spans="1:20" ht="27.75" customHeight="1">
      <c r="A1" s="206" t="s">
        <v>102</v>
      </c>
      <c r="B1" s="206"/>
      <c r="C1" s="206"/>
      <c r="D1" s="206"/>
      <c r="E1" s="206"/>
      <c r="F1" s="206"/>
    </row>
    <row r="2" spans="1:20" ht="19.5" customHeight="1">
      <c r="A2" s="50"/>
      <c r="B2" s="51"/>
      <c r="C2" s="50"/>
      <c r="D2" s="50"/>
      <c r="E2" s="50"/>
      <c r="F2" s="51"/>
      <c r="G2" s="52" t="s">
        <v>64</v>
      </c>
    </row>
    <row r="3" spans="1:20" ht="64.5" customHeight="1">
      <c r="A3" s="53" t="s">
        <v>23</v>
      </c>
      <c r="B3" s="54" t="s">
        <v>5</v>
      </c>
      <c r="C3" s="55" t="s">
        <v>446</v>
      </c>
      <c r="D3" s="54" t="s">
        <v>445</v>
      </c>
      <c r="E3" s="54" t="s">
        <v>444</v>
      </c>
      <c r="F3" s="56" t="s">
        <v>113</v>
      </c>
      <c r="G3" s="57" t="s">
        <v>114</v>
      </c>
    </row>
    <row r="4" spans="1:20" ht="18" customHeight="1">
      <c r="A4" s="58">
        <v>1</v>
      </c>
      <c r="B4" s="55">
        <v>2</v>
      </c>
      <c r="C4" s="55">
        <v>3</v>
      </c>
      <c r="D4" s="55">
        <v>4</v>
      </c>
      <c r="E4" s="55">
        <v>5</v>
      </c>
      <c r="F4" s="55">
        <v>6</v>
      </c>
      <c r="G4" s="58">
        <v>7</v>
      </c>
    </row>
    <row r="5" spans="1:20" ht="47.25" customHeight="1">
      <c r="A5" s="59" t="s">
        <v>13</v>
      </c>
      <c r="B5" s="60">
        <v>4000</v>
      </c>
      <c r="C5" s="61">
        <f>C6+C98+C227</f>
        <v>1776.9999999999998</v>
      </c>
      <c r="D5" s="61">
        <f>D6+D98+D227</f>
        <v>10744.4</v>
      </c>
      <c r="E5" s="61">
        <f>E6+E98+E227</f>
        <v>32031.100000000002</v>
      </c>
      <c r="F5" s="61">
        <f t="shared" ref="F5:F68" si="0">E5-D5</f>
        <v>21286.700000000004</v>
      </c>
      <c r="G5" s="62">
        <f t="shared" ref="G5:G68" si="1">(E5/D5)*100</f>
        <v>298.1190201407245</v>
      </c>
    </row>
    <row r="6" spans="1:20" ht="30" customHeight="1">
      <c r="A6" s="170" t="s">
        <v>0</v>
      </c>
      <c r="B6" s="173">
        <v>4020</v>
      </c>
      <c r="C6" s="80">
        <f>SUM(C7:C97)</f>
        <v>926.99999999999989</v>
      </c>
      <c r="D6" s="80">
        <f>SUM(D7:D97)</f>
        <v>8744.4</v>
      </c>
      <c r="E6" s="80">
        <f>SUM(E7:E97)</f>
        <v>30241.5</v>
      </c>
      <c r="F6" s="80">
        <f t="shared" si="0"/>
        <v>21497.1</v>
      </c>
      <c r="G6" s="172">
        <f t="shared" si="1"/>
        <v>345.83847948401262</v>
      </c>
    </row>
    <row r="7" spans="1:20" ht="27.75" customHeight="1">
      <c r="A7" s="63" t="s">
        <v>276</v>
      </c>
      <c r="B7" s="55"/>
      <c r="C7" s="64">
        <v>103.7</v>
      </c>
      <c r="D7" s="64"/>
      <c r="E7" s="64"/>
      <c r="F7" s="61">
        <f t="shared" si="0"/>
        <v>0</v>
      </c>
      <c r="G7" s="177" t="e">
        <f t="shared" si="1"/>
        <v>#DIV/0!</v>
      </c>
    </row>
    <row r="8" spans="1:20" ht="31.5" customHeight="1">
      <c r="A8" s="65" t="s">
        <v>277</v>
      </c>
      <c r="B8" s="55"/>
      <c r="C8" s="64">
        <v>22</v>
      </c>
      <c r="D8" s="64"/>
      <c r="E8" s="64"/>
      <c r="F8" s="61">
        <f t="shared" si="0"/>
        <v>0</v>
      </c>
      <c r="G8" s="177" t="e">
        <f t="shared" si="1"/>
        <v>#DIV/0!</v>
      </c>
    </row>
    <row r="9" spans="1:20" ht="27.75" customHeight="1">
      <c r="A9" s="65" t="s">
        <v>278</v>
      </c>
      <c r="B9" s="55"/>
      <c r="C9" s="64">
        <v>6.4</v>
      </c>
      <c r="D9" s="64"/>
      <c r="E9" s="64"/>
      <c r="F9" s="61">
        <f t="shared" si="0"/>
        <v>0</v>
      </c>
      <c r="G9" s="177" t="e">
        <f t="shared" si="1"/>
        <v>#DIV/0!</v>
      </c>
    </row>
    <row r="10" spans="1:20" ht="27.75" customHeight="1">
      <c r="A10" s="65" t="s">
        <v>279</v>
      </c>
      <c r="B10" s="55"/>
      <c r="C10" s="64">
        <v>7.2</v>
      </c>
      <c r="D10" s="64"/>
      <c r="E10" s="64"/>
      <c r="F10" s="61">
        <f t="shared" si="0"/>
        <v>0</v>
      </c>
      <c r="G10" s="177" t="e">
        <f t="shared" si="1"/>
        <v>#DIV/0!</v>
      </c>
    </row>
    <row r="11" spans="1:20" ht="27.75" customHeight="1">
      <c r="A11" s="65" t="s">
        <v>280</v>
      </c>
      <c r="B11" s="55"/>
      <c r="C11" s="64">
        <v>8.1</v>
      </c>
      <c r="D11" s="64"/>
      <c r="E11" s="64"/>
      <c r="F11" s="61">
        <f t="shared" si="0"/>
        <v>0</v>
      </c>
      <c r="G11" s="177" t="e">
        <f t="shared" si="1"/>
        <v>#DIV/0!</v>
      </c>
    </row>
    <row r="12" spans="1:20" ht="27.75" customHeight="1">
      <c r="A12" s="65" t="s">
        <v>286</v>
      </c>
      <c r="B12" s="55"/>
      <c r="C12" s="64">
        <v>78.7</v>
      </c>
      <c r="D12" s="64"/>
      <c r="E12" s="64"/>
      <c r="F12" s="61">
        <f t="shared" si="0"/>
        <v>0</v>
      </c>
      <c r="G12" s="177" t="e">
        <f t="shared" si="1"/>
        <v>#DIV/0!</v>
      </c>
    </row>
    <row r="13" spans="1:20" ht="40.5" customHeight="1">
      <c r="A13" s="65" t="s">
        <v>281</v>
      </c>
      <c r="B13" s="55"/>
      <c r="C13" s="64">
        <v>16.600000000000001</v>
      </c>
      <c r="D13" s="64"/>
      <c r="E13" s="64"/>
      <c r="F13" s="61">
        <f t="shared" si="0"/>
        <v>0</v>
      </c>
      <c r="G13" s="177" t="e">
        <f t="shared" si="1"/>
        <v>#DIV/0!</v>
      </c>
      <c r="L13" s="66"/>
      <c r="T13" s="66"/>
    </row>
    <row r="14" spans="1:20" ht="27.75" customHeight="1">
      <c r="A14" s="65" t="s">
        <v>282</v>
      </c>
      <c r="B14" s="55"/>
      <c r="C14" s="64">
        <f>6+7.5</f>
        <v>13.5</v>
      </c>
      <c r="D14" s="64"/>
      <c r="E14" s="64"/>
      <c r="F14" s="61">
        <f t="shared" si="0"/>
        <v>0</v>
      </c>
      <c r="G14" s="177" t="e">
        <f t="shared" si="1"/>
        <v>#DIV/0!</v>
      </c>
    </row>
    <row r="15" spans="1:20" ht="27.75" customHeight="1">
      <c r="A15" s="65" t="s">
        <v>283</v>
      </c>
      <c r="B15" s="55"/>
      <c r="C15" s="64">
        <v>26.2</v>
      </c>
      <c r="D15" s="64"/>
      <c r="E15" s="64"/>
      <c r="F15" s="61">
        <f t="shared" si="0"/>
        <v>0</v>
      </c>
      <c r="G15" s="177" t="e">
        <f t="shared" si="1"/>
        <v>#DIV/0!</v>
      </c>
    </row>
    <row r="16" spans="1:20" ht="29.25" customHeight="1">
      <c r="A16" s="65" t="s">
        <v>284</v>
      </c>
      <c r="B16" s="55"/>
      <c r="C16" s="64">
        <v>28.2</v>
      </c>
      <c r="D16" s="64"/>
      <c r="E16" s="64"/>
      <c r="F16" s="61">
        <f t="shared" si="0"/>
        <v>0</v>
      </c>
      <c r="G16" s="177" t="e">
        <f t="shared" si="1"/>
        <v>#DIV/0!</v>
      </c>
    </row>
    <row r="17" spans="1:7" ht="27.75" customHeight="1">
      <c r="A17" s="65" t="s">
        <v>285</v>
      </c>
      <c r="B17" s="55"/>
      <c r="C17" s="64">
        <v>17.899999999999999</v>
      </c>
      <c r="D17" s="64"/>
      <c r="E17" s="64"/>
      <c r="F17" s="61">
        <f t="shared" si="0"/>
        <v>0</v>
      </c>
      <c r="G17" s="177" t="e">
        <f t="shared" si="1"/>
        <v>#DIV/0!</v>
      </c>
    </row>
    <row r="18" spans="1:7" ht="27.75" customHeight="1">
      <c r="A18" s="65" t="s">
        <v>408</v>
      </c>
      <c r="B18" s="55"/>
      <c r="C18" s="64">
        <v>7.5</v>
      </c>
      <c r="D18" s="64"/>
      <c r="E18" s="64"/>
      <c r="F18" s="61">
        <f t="shared" si="0"/>
        <v>0</v>
      </c>
      <c r="G18" s="177" t="e">
        <f t="shared" si="1"/>
        <v>#DIV/0!</v>
      </c>
    </row>
    <row r="19" spans="1:7" ht="27.75" customHeight="1">
      <c r="A19" s="65" t="s">
        <v>409</v>
      </c>
      <c r="B19" s="55"/>
      <c r="C19" s="64">
        <v>13.6</v>
      </c>
      <c r="D19" s="64"/>
      <c r="E19" s="64"/>
      <c r="F19" s="61">
        <f t="shared" si="0"/>
        <v>0</v>
      </c>
      <c r="G19" s="177" t="e">
        <f t="shared" si="1"/>
        <v>#DIV/0!</v>
      </c>
    </row>
    <row r="20" spans="1:7" ht="27.75" customHeight="1">
      <c r="A20" s="65" t="s">
        <v>410</v>
      </c>
      <c r="B20" s="55"/>
      <c r="C20" s="64">
        <v>58.5</v>
      </c>
      <c r="D20" s="64"/>
      <c r="E20" s="64"/>
      <c r="F20" s="61">
        <f t="shared" si="0"/>
        <v>0</v>
      </c>
      <c r="G20" s="177" t="e">
        <f t="shared" si="1"/>
        <v>#DIV/0!</v>
      </c>
    </row>
    <row r="21" spans="1:7" ht="27.75" customHeight="1">
      <c r="A21" s="65" t="s">
        <v>473</v>
      </c>
      <c r="B21" s="55"/>
      <c r="C21" s="64">
        <v>33</v>
      </c>
      <c r="D21" s="64"/>
      <c r="E21" s="64"/>
      <c r="F21" s="61">
        <f t="shared" si="0"/>
        <v>0</v>
      </c>
      <c r="G21" s="177" t="e">
        <f t="shared" si="1"/>
        <v>#DIV/0!</v>
      </c>
    </row>
    <row r="22" spans="1:7" ht="27.75" customHeight="1">
      <c r="A22" s="65" t="s">
        <v>474</v>
      </c>
      <c r="B22" s="55"/>
      <c r="C22" s="64">
        <v>12.4</v>
      </c>
      <c r="D22" s="64"/>
      <c r="E22" s="64"/>
      <c r="F22" s="61">
        <f t="shared" si="0"/>
        <v>0</v>
      </c>
      <c r="G22" s="177" t="e">
        <f t="shared" si="1"/>
        <v>#DIV/0!</v>
      </c>
    </row>
    <row r="23" spans="1:7" ht="27.75" customHeight="1">
      <c r="A23" s="65" t="s">
        <v>475</v>
      </c>
      <c r="B23" s="55"/>
      <c r="C23" s="64">
        <v>7.8</v>
      </c>
      <c r="D23" s="64"/>
      <c r="E23" s="64"/>
      <c r="F23" s="61">
        <f t="shared" si="0"/>
        <v>0</v>
      </c>
      <c r="G23" s="177" t="e">
        <f t="shared" si="1"/>
        <v>#DIV/0!</v>
      </c>
    </row>
    <row r="24" spans="1:7" ht="27.75" customHeight="1">
      <c r="A24" s="65" t="s">
        <v>475</v>
      </c>
      <c r="B24" s="55"/>
      <c r="C24" s="64">
        <v>0.4</v>
      </c>
      <c r="D24" s="64"/>
      <c r="E24" s="49"/>
      <c r="F24" s="61">
        <f t="shared" si="0"/>
        <v>0</v>
      </c>
      <c r="G24" s="177" t="e">
        <f t="shared" si="1"/>
        <v>#DIV/0!</v>
      </c>
    </row>
    <row r="25" spans="1:7" ht="27.75" customHeight="1">
      <c r="A25" s="65" t="s">
        <v>476</v>
      </c>
      <c r="B25" s="55"/>
      <c r="C25" s="64">
        <v>7.8</v>
      </c>
      <c r="D25" s="64"/>
      <c r="E25" s="64"/>
      <c r="F25" s="61">
        <f t="shared" si="0"/>
        <v>0</v>
      </c>
      <c r="G25" s="177" t="e">
        <f t="shared" si="1"/>
        <v>#DIV/0!</v>
      </c>
    </row>
    <row r="26" spans="1:7" ht="27.75" customHeight="1">
      <c r="A26" s="65" t="s">
        <v>476</v>
      </c>
      <c r="B26" s="55"/>
      <c r="C26" s="64">
        <v>0.8</v>
      </c>
      <c r="D26" s="64"/>
      <c r="E26" s="64"/>
      <c r="F26" s="61">
        <f t="shared" si="0"/>
        <v>0</v>
      </c>
      <c r="G26" s="177" t="e">
        <f t="shared" si="1"/>
        <v>#DIV/0!</v>
      </c>
    </row>
    <row r="27" spans="1:7" ht="27.75" customHeight="1">
      <c r="A27" s="65" t="s">
        <v>477</v>
      </c>
      <c r="B27" s="55"/>
      <c r="C27" s="64">
        <v>89.5</v>
      </c>
      <c r="D27" s="64"/>
      <c r="E27" s="64"/>
      <c r="F27" s="61">
        <f t="shared" si="0"/>
        <v>0</v>
      </c>
      <c r="G27" s="177" t="e">
        <f t="shared" si="1"/>
        <v>#DIV/0!</v>
      </c>
    </row>
    <row r="28" spans="1:7" ht="39" customHeight="1">
      <c r="A28" s="67" t="s">
        <v>449</v>
      </c>
      <c r="B28" s="55"/>
      <c r="C28" s="64"/>
      <c r="D28" s="68">
        <v>270</v>
      </c>
      <c r="E28" s="68"/>
      <c r="F28" s="61">
        <f t="shared" si="0"/>
        <v>-270</v>
      </c>
      <c r="G28" s="62">
        <f t="shared" si="1"/>
        <v>0</v>
      </c>
    </row>
    <row r="29" spans="1:7" ht="27.75" customHeight="1">
      <c r="A29" s="69" t="s">
        <v>450</v>
      </c>
      <c r="B29" s="55"/>
      <c r="C29" s="64"/>
      <c r="D29" s="68">
        <v>2644.9</v>
      </c>
      <c r="E29" s="68"/>
      <c r="F29" s="61">
        <f t="shared" si="0"/>
        <v>-2644.9</v>
      </c>
      <c r="G29" s="62">
        <f t="shared" si="1"/>
        <v>0</v>
      </c>
    </row>
    <row r="30" spans="1:7" ht="27.75" customHeight="1">
      <c r="A30" s="70" t="s">
        <v>451</v>
      </c>
      <c r="B30" s="55"/>
      <c r="C30" s="64"/>
      <c r="D30" s="68">
        <v>1210.4000000000001</v>
      </c>
      <c r="E30" s="68"/>
      <c r="F30" s="61">
        <f t="shared" si="0"/>
        <v>-1210.4000000000001</v>
      </c>
      <c r="G30" s="62">
        <f t="shared" si="1"/>
        <v>0</v>
      </c>
    </row>
    <row r="31" spans="1:7" ht="48" customHeight="1">
      <c r="A31" s="71" t="s">
        <v>452</v>
      </c>
      <c r="B31" s="55"/>
      <c r="C31" s="64"/>
      <c r="D31" s="68">
        <v>118</v>
      </c>
      <c r="E31" s="68"/>
      <c r="F31" s="61">
        <f t="shared" si="0"/>
        <v>-118</v>
      </c>
      <c r="G31" s="62">
        <f t="shared" si="1"/>
        <v>0</v>
      </c>
    </row>
    <row r="32" spans="1:7" ht="37.5" customHeight="1">
      <c r="A32" s="69" t="s">
        <v>453</v>
      </c>
      <c r="B32" s="55"/>
      <c r="C32" s="64"/>
      <c r="D32" s="68">
        <v>112</v>
      </c>
      <c r="E32" s="68"/>
      <c r="F32" s="61">
        <f t="shared" si="0"/>
        <v>-112</v>
      </c>
      <c r="G32" s="62">
        <f t="shared" si="1"/>
        <v>0</v>
      </c>
    </row>
    <row r="33" spans="1:7" ht="27.75" customHeight="1">
      <c r="A33" s="72" t="s">
        <v>454</v>
      </c>
      <c r="B33" s="55"/>
      <c r="C33" s="64"/>
      <c r="D33" s="68">
        <v>51</v>
      </c>
      <c r="E33" s="68"/>
      <c r="F33" s="61">
        <f t="shared" si="0"/>
        <v>-51</v>
      </c>
      <c r="G33" s="62">
        <f t="shared" si="1"/>
        <v>0</v>
      </c>
    </row>
    <row r="34" spans="1:7" ht="27.75" customHeight="1">
      <c r="A34" s="71" t="s">
        <v>455</v>
      </c>
      <c r="B34" s="55"/>
      <c r="C34" s="64"/>
      <c r="D34" s="68">
        <v>199.7</v>
      </c>
      <c r="E34" s="68"/>
      <c r="F34" s="61">
        <f t="shared" si="0"/>
        <v>-199.7</v>
      </c>
      <c r="G34" s="62">
        <f t="shared" si="1"/>
        <v>0</v>
      </c>
    </row>
    <row r="35" spans="1:7" ht="33.75" customHeight="1">
      <c r="A35" s="72" t="s">
        <v>456</v>
      </c>
      <c r="B35" s="55"/>
      <c r="C35" s="64"/>
      <c r="D35" s="68">
        <v>177.5</v>
      </c>
      <c r="E35" s="68"/>
      <c r="F35" s="61">
        <f t="shared" si="0"/>
        <v>-177.5</v>
      </c>
      <c r="G35" s="62">
        <f t="shared" si="1"/>
        <v>0</v>
      </c>
    </row>
    <row r="36" spans="1:7" ht="33.75" customHeight="1">
      <c r="A36" s="69" t="s">
        <v>457</v>
      </c>
      <c r="B36" s="55"/>
      <c r="C36" s="64"/>
      <c r="D36" s="68">
        <v>270</v>
      </c>
      <c r="E36" s="68"/>
      <c r="F36" s="61">
        <f t="shared" si="0"/>
        <v>-270</v>
      </c>
      <c r="G36" s="62">
        <f t="shared" si="1"/>
        <v>0</v>
      </c>
    </row>
    <row r="37" spans="1:7" ht="27.75" customHeight="1">
      <c r="A37" s="71" t="s">
        <v>458</v>
      </c>
      <c r="B37" s="55"/>
      <c r="C37" s="64"/>
      <c r="D37" s="68">
        <v>116</v>
      </c>
      <c r="E37" s="68"/>
      <c r="F37" s="61">
        <f t="shared" si="0"/>
        <v>-116</v>
      </c>
      <c r="G37" s="62">
        <f t="shared" si="1"/>
        <v>0</v>
      </c>
    </row>
    <row r="38" spans="1:7" ht="27.75" customHeight="1">
      <c r="A38" s="69" t="s">
        <v>459</v>
      </c>
      <c r="B38" s="55"/>
      <c r="C38" s="64"/>
      <c r="D38" s="68">
        <v>57.4</v>
      </c>
      <c r="E38" s="68"/>
      <c r="F38" s="61">
        <f t="shared" si="0"/>
        <v>-57.4</v>
      </c>
      <c r="G38" s="62">
        <f t="shared" si="1"/>
        <v>0</v>
      </c>
    </row>
    <row r="39" spans="1:7" ht="27.75" customHeight="1">
      <c r="A39" s="69" t="s">
        <v>460</v>
      </c>
      <c r="B39" s="55"/>
      <c r="C39" s="64"/>
      <c r="D39" s="68">
        <v>116.5</v>
      </c>
      <c r="E39" s="68"/>
      <c r="F39" s="61">
        <f t="shared" si="0"/>
        <v>-116.5</v>
      </c>
      <c r="G39" s="62">
        <f t="shared" si="1"/>
        <v>0</v>
      </c>
    </row>
    <row r="40" spans="1:7" ht="48" customHeight="1">
      <c r="A40" s="69" t="s">
        <v>461</v>
      </c>
      <c r="B40" s="55"/>
      <c r="C40" s="64"/>
      <c r="D40" s="68">
        <v>1700</v>
      </c>
      <c r="E40" s="68"/>
      <c r="F40" s="61">
        <f t="shared" si="0"/>
        <v>-1700</v>
      </c>
      <c r="G40" s="62">
        <f t="shared" si="1"/>
        <v>0</v>
      </c>
    </row>
    <row r="41" spans="1:7" ht="24" customHeight="1">
      <c r="A41" s="73" t="s">
        <v>462</v>
      </c>
      <c r="B41" s="55"/>
      <c r="C41" s="64"/>
      <c r="D41" s="68">
        <v>620</v>
      </c>
      <c r="E41" s="68"/>
      <c r="F41" s="61">
        <f t="shared" si="0"/>
        <v>-620</v>
      </c>
      <c r="G41" s="62">
        <f t="shared" si="1"/>
        <v>0</v>
      </c>
    </row>
    <row r="42" spans="1:7" ht="27.75" customHeight="1">
      <c r="A42" s="73" t="s">
        <v>463</v>
      </c>
      <c r="B42" s="55"/>
      <c r="C42" s="64"/>
      <c r="D42" s="68">
        <v>118.9</v>
      </c>
      <c r="E42" s="68"/>
      <c r="F42" s="61">
        <f t="shared" si="0"/>
        <v>-118.9</v>
      </c>
      <c r="G42" s="62">
        <f t="shared" si="1"/>
        <v>0</v>
      </c>
    </row>
    <row r="43" spans="1:7" ht="27.75" customHeight="1">
      <c r="A43" s="72" t="s">
        <v>464</v>
      </c>
      <c r="B43" s="55"/>
      <c r="C43" s="64"/>
      <c r="D43" s="68">
        <v>120</v>
      </c>
      <c r="E43" s="68"/>
      <c r="F43" s="61">
        <f t="shared" si="0"/>
        <v>-120</v>
      </c>
      <c r="G43" s="62">
        <f t="shared" si="1"/>
        <v>0</v>
      </c>
    </row>
    <row r="44" spans="1:7" ht="44.25" customHeight="1">
      <c r="A44" s="73" t="s">
        <v>465</v>
      </c>
      <c r="B44" s="55"/>
      <c r="C44" s="64"/>
      <c r="D44" s="68">
        <v>378</v>
      </c>
      <c r="E44" s="68"/>
      <c r="F44" s="61">
        <f t="shared" si="0"/>
        <v>-378</v>
      </c>
      <c r="G44" s="62">
        <f t="shared" si="1"/>
        <v>0</v>
      </c>
    </row>
    <row r="45" spans="1:7" ht="44.25" customHeight="1">
      <c r="A45" s="73" t="s">
        <v>466</v>
      </c>
      <c r="B45" s="55"/>
      <c r="C45" s="64"/>
      <c r="D45" s="68">
        <v>130</v>
      </c>
      <c r="E45" s="68"/>
      <c r="F45" s="61">
        <f t="shared" si="0"/>
        <v>-130</v>
      </c>
      <c r="G45" s="62">
        <f t="shared" si="1"/>
        <v>0</v>
      </c>
    </row>
    <row r="46" spans="1:7" ht="27.75" customHeight="1">
      <c r="A46" s="72" t="s">
        <v>467</v>
      </c>
      <c r="B46" s="55"/>
      <c r="C46" s="64"/>
      <c r="D46" s="68">
        <v>140</v>
      </c>
      <c r="E46" s="68"/>
      <c r="F46" s="61">
        <f t="shared" si="0"/>
        <v>-140</v>
      </c>
      <c r="G46" s="62">
        <f t="shared" si="1"/>
        <v>0</v>
      </c>
    </row>
    <row r="47" spans="1:7" ht="27.75" customHeight="1">
      <c r="A47" s="72" t="s">
        <v>468</v>
      </c>
      <c r="B47" s="55"/>
      <c r="C47" s="64"/>
      <c r="D47" s="68">
        <v>194.1</v>
      </c>
      <c r="E47" s="68"/>
      <c r="F47" s="61">
        <f t="shared" si="0"/>
        <v>-194.1</v>
      </c>
      <c r="G47" s="62">
        <f t="shared" si="1"/>
        <v>0</v>
      </c>
    </row>
    <row r="48" spans="1:7" ht="25.5" customHeight="1">
      <c r="A48" s="74" t="s">
        <v>407</v>
      </c>
      <c r="B48" s="55"/>
      <c r="C48" s="64">
        <v>302.8</v>
      </c>
      <c r="D48" s="68"/>
      <c r="E48" s="68"/>
      <c r="F48" s="61">
        <f t="shared" si="0"/>
        <v>0</v>
      </c>
      <c r="G48" s="177" t="e">
        <f t="shared" si="1"/>
        <v>#DIV/0!</v>
      </c>
    </row>
    <row r="49" spans="1:7" ht="42.75" customHeight="1">
      <c r="A49" s="65" t="s">
        <v>244</v>
      </c>
      <c r="B49" s="55"/>
      <c r="C49" s="64">
        <v>64.400000000000006</v>
      </c>
      <c r="D49" s="68"/>
      <c r="E49" s="68"/>
      <c r="F49" s="61">
        <f t="shared" si="0"/>
        <v>0</v>
      </c>
      <c r="G49" s="177" t="e">
        <f t="shared" si="1"/>
        <v>#DIV/0!</v>
      </c>
    </row>
    <row r="50" spans="1:7" ht="28.5" customHeight="1">
      <c r="A50" s="45" t="s">
        <v>561</v>
      </c>
      <c r="B50" s="48"/>
      <c r="C50" s="64"/>
      <c r="D50" s="68"/>
      <c r="E50" s="68">
        <v>363.1</v>
      </c>
      <c r="F50" s="61">
        <f t="shared" si="0"/>
        <v>363.1</v>
      </c>
      <c r="G50" s="177" t="e">
        <f t="shared" si="1"/>
        <v>#DIV/0!</v>
      </c>
    </row>
    <row r="51" spans="1:7" ht="34.5" customHeight="1">
      <c r="A51" s="45" t="s">
        <v>562</v>
      </c>
      <c r="B51" s="48"/>
      <c r="C51" s="64"/>
      <c r="D51" s="68"/>
      <c r="E51" s="68">
        <v>118.8</v>
      </c>
      <c r="F51" s="61">
        <f t="shared" si="0"/>
        <v>118.8</v>
      </c>
      <c r="G51" s="177" t="e">
        <f t="shared" si="1"/>
        <v>#DIV/0!</v>
      </c>
    </row>
    <row r="52" spans="1:7" ht="37.5" customHeight="1">
      <c r="A52" s="45" t="s">
        <v>533</v>
      </c>
      <c r="B52" s="55"/>
      <c r="C52" s="64"/>
      <c r="D52" s="68"/>
      <c r="E52" s="68">
        <v>213.9</v>
      </c>
      <c r="F52" s="61">
        <f t="shared" si="0"/>
        <v>213.9</v>
      </c>
      <c r="G52" s="177" t="e">
        <f t="shared" si="1"/>
        <v>#DIV/0!</v>
      </c>
    </row>
    <row r="53" spans="1:7" ht="35.25" customHeight="1">
      <c r="A53" s="45" t="s">
        <v>534</v>
      </c>
      <c r="B53" s="55"/>
      <c r="C53" s="64"/>
      <c r="D53" s="68"/>
      <c r="E53" s="68">
        <v>378.5</v>
      </c>
      <c r="F53" s="61">
        <f t="shared" si="0"/>
        <v>378.5</v>
      </c>
      <c r="G53" s="177" t="e">
        <f t="shared" si="1"/>
        <v>#DIV/0!</v>
      </c>
    </row>
    <row r="54" spans="1:7" ht="43.5" customHeight="1">
      <c r="A54" s="45" t="s">
        <v>560</v>
      </c>
      <c r="B54" s="55"/>
      <c r="C54" s="64"/>
      <c r="D54" s="68"/>
      <c r="E54" s="68">
        <v>1015.2</v>
      </c>
      <c r="F54" s="61">
        <f t="shared" si="0"/>
        <v>1015.2</v>
      </c>
      <c r="G54" s="177" t="e">
        <f t="shared" si="1"/>
        <v>#DIV/0!</v>
      </c>
    </row>
    <row r="55" spans="1:7" ht="43.5" customHeight="1">
      <c r="A55" s="45" t="s">
        <v>563</v>
      </c>
      <c r="B55" s="55"/>
      <c r="C55" s="64"/>
      <c r="D55" s="68"/>
      <c r="E55" s="68">
        <v>102.4</v>
      </c>
      <c r="F55" s="61">
        <f t="shared" si="0"/>
        <v>102.4</v>
      </c>
      <c r="G55" s="177" t="e">
        <f t="shared" si="1"/>
        <v>#DIV/0!</v>
      </c>
    </row>
    <row r="56" spans="1:7" ht="43.5" customHeight="1">
      <c r="A56" s="45" t="s">
        <v>564</v>
      </c>
      <c r="B56" s="55"/>
      <c r="C56" s="64"/>
      <c r="D56" s="68"/>
      <c r="E56" s="68">
        <v>21.9</v>
      </c>
      <c r="F56" s="61">
        <f t="shared" si="0"/>
        <v>21.9</v>
      </c>
      <c r="G56" s="177" t="e">
        <f t="shared" si="1"/>
        <v>#DIV/0!</v>
      </c>
    </row>
    <row r="57" spans="1:7" ht="60" customHeight="1">
      <c r="A57" s="45" t="s">
        <v>535</v>
      </c>
      <c r="B57" s="55"/>
      <c r="C57" s="64"/>
      <c r="D57" s="68"/>
      <c r="E57" s="68">
        <v>29.2</v>
      </c>
      <c r="F57" s="61">
        <f t="shared" si="0"/>
        <v>29.2</v>
      </c>
      <c r="G57" s="177" t="e">
        <f t="shared" si="1"/>
        <v>#DIV/0!</v>
      </c>
    </row>
    <row r="58" spans="1:7" ht="27.75" customHeight="1">
      <c r="A58" s="45" t="s">
        <v>536</v>
      </c>
      <c r="B58" s="55"/>
      <c r="C58" s="64"/>
      <c r="D58" s="68"/>
      <c r="E58" s="68">
        <v>20.100000000000001</v>
      </c>
      <c r="F58" s="61">
        <f t="shared" si="0"/>
        <v>20.100000000000001</v>
      </c>
      <c r="G58" s="177" t="e">
        <f t="shared" si="1"/>
        <v>#DIV/0!</v>
      </c>
    </row>
    <row r="59" spans="1:7" ht="42.75" customHeight="1">
      <c r="A59" s="45" t="s">
        <v>537</v>
      </c>
      <c r="B59" s="55"/>
      <c r="C59" s="64"/>
      <c r="D59" s="68"/>
      <c r="E59" s="68">
        <v>68.400000000000006</v>
      </c>
      <c r="F59" s="61">
        <f t="shared" si="0"/>
        <v>68.400000000000006</v>
      </c>
      <c r="G59" s="177" t="e">
        <f t="shared" si="1"/>
        <v>#DIV/0!</v>
      </c>
    </row>
    <row r="60" spans="1:7" ht="36" customHeight="1">
      <c r="A60" s="45" t="s">
        <v>538</v>
      </c>
      <c r="B60" s="55"/>
      <c r="C60" s="64"/>
      <c r="D60" s="68"/>
      <c r="E60" s="68">
        <v>116.2</v>
      </c>
      <c r="F60" s="61">
        <f t="shared" si="0"/>
        <v>116.2</v>
      </c>
      <c r="G60" s="177" t="e">
        <f t="shared" si="1"/>
        <v>#DIV/0!</v>
      </c>
    </row>
    <row r="61" spans="1:7" ht="27.75" customHeight="1">
      <c r="A61" s="45" t="s">
        <v>539</v>
      </c>
      <c r="B61" s="55"/>
      <c r="C61" s="64"/>
      <c r="D61" s="68"/>
      <c r="E61" s="68">
        <v>133</v>
      </c>
      <c r="F61" s="61">
        <f t="shared" si="0"/>
        <v>133</v>
      </c>
      <c r="G61" s="177" t="e">
        <f t="shared" si="1"/>
        <v>#DIV/0!</v>
      </c>
    </row>
    <row r="62" spans="1:7" ht="38.25" customHeight="1">
      <c r="A62" s="45" t="s">
        <v>540</v>
      </c>
      <c r="B62" s="55"/>
      <c r="C62" s="64"/>
      <c r="D62" s="68"/>
      <c r="E62" s="68">
        <v>78.900000000000006</v>
      </c>
      <c r="F62" s="61">
        <f t="shared" si="0"/>
        <v>78.900000000000006</v>
      </c>
      <c r="G62" s="177" t="e">
        <f t="shared" si="1"/>
        <v>#DIV/0!</v>
      </c>
    </row>
    <row r="63" spans="1:7" ht="27.75" customHeight="1">
      <c r="A63" s="45" t="s">
        <v>541</v>
      </c>
      <c r="B63" s="55"/>
      <c r="C63" s="64"/>
      <c r="D63" s="68"/>
      <c r="E63" s="68">
        <v>80</v>
      </c>
      <c r="F63" s="61">
        <f t="shared" si="0"/>
        <v>80</v>
      </c>
      <c r="G63" s="177" t="e">
        <f t="shared" si="1"/>
        <v>#DIV/0!</v>
      </c>
    </row>
    <row r="64" spans="1:7" ht="37.5" customHeight="1">
      <c r="A64" s="45" t="s">
        <v>542</v>
      </c>
      <c r="B64" s="55"/>
      <c r="C64" s="64"/>
      <c r="D64" s="68"/>
      <c r="E64" s="68">
        <v>7</v>
      </c>
      <c r="F64" s="61">
        <f t="shared" si="0"/>
        <v>7</v>
      </c>
      <c r="G64" s="177" t="e">
        <f t="shared" si="1"/>
        <v>#DIV/0!</v>
      </c>
    </row>
    <row r="65" spans="1:7" ht="36" customHeight="1">
      <c r="A65" s="45" t="s">
        <v>543</v>
      </c>
      <c r="B65" s="55"/>
      <c r="C65" s="64"/>
      <c r="D65" s="68"/>
      <c r="E65" s="68">
        <v>32.200000000000003</v>
      </c>
      <c r="F65" s="61">
        <f t="shared" si="0"/>
        <v>32.200000000000003</v>
      </c>
      <c r="G65" s="177" t="e">
        <f t="shared" si="1"/>
        <v>#DIV/0!</v>
      </c>
    </row>
    <row r="66" spans="1:7" ht="29.25" customHeight="1">
      <c r="A66" s="45" t="s">
        <v>544</v>
      </c>
      <c r="B66" s="55"/>
      <c r="C66" s="64"/>
      <c r="D66" s="68"/>
      <c r="E66" s="68">
        <v>225</v>
      </c>
      <c r="F66" s="61">
        <f t="shared" si="0"/>
        <v>225</v>
      </c>
      <c r="G66" s="177" t="e">
        <f t="shared" si="1"/>
        <v>#DIV/0!</v>
      </c>
    </row>
    <row r="67" spans="1:7" ht="40.5" customHeight="1">
      <c r="A67" s="45" t="s">
        <v>545</v>
      </c>
      <c r="B67" s="55"/>
      <c r="C67" s="64"/>
      <c r="D67" s="68"/>
      <c r="E67" s="68">
        <v>7896.6</v>
      </c>
      <c r="F67" s="61">
        <f t="shared" si="0"/>
        <v>7896.6</v>
      </c>
      <c r="G67" s="177" t="e">
        <f t="shared" si="1"/>
        <v>#DIV/0!</v>
      </c>
    </row>
    <row r="68" spans="1:7" ht="27.75" customHeight="1">
      <c r="A68" s="45" t="s">
        <v>546</v>
      </c>
      <c r="B68" s="55"/>
      <c r="C68" s="64"/>
      <c r="D68" s="68"/>
      <c r="E68" s="68">
        <v>16.2</v>
      </c>
      <c r="F68" s="61">
        <f t="shared" si="0"/>
        <v>16.2</v>
      </c>
      <c r="G68" s="177" t="e">
        <f t="shared" si="1"/>
        <v>#DIV/0!</v>
      </c>
    </row>
    <row r="69" spans="1:7" ht="54.75" customHeight="1">
      <c r="A69" s="45" t="s">
        <v>547</v>
      </c>
      <c r="B69" s="55"/>
      <c r="C69" s="64"/>
      <c r="D69" s="68"/>
      <c r="E69" s="68">
        <v>218.2</v>
      </c>
      <c r="F69" s="61">
        <f t="shared" ref="F69:F132" si="2">E69-D69</f>
        <v>218.2</v>
      </c>
      <c r="G69" s="177" t="e">
        <f t="shared" ref="G69:G132" si="3">(E69/D69)*100</f>
        <v>#DIV/0!</v>
      </c>
    </row>
    <row r="70" spans="1:7" ht="27.75" customHeight="1">
      <c r="A70" s="45" t="s">
        <v>548</v>
      </c>
      <c r="B70" s="55"/>
      <c r="C70" s="64"/>
      <c r="D70" s="68"/>
      <c r="E70" s="68">
        <v>54.7</v>
      </c>
      <c r="F70" s="61">
        <f t="shared" si="2"/>
        <v>54.7</v>
      </c>
      <c r="G70" s="177" t="e">
        <f t="shared" si="3"/>
        <v>#DIV/0!</v>
      </c>
    </row>
    <row r="71" spans="1:7" ht="27.75" customHeight="1">
      <c r="A71" s="45" t="s">
        <v>549</v>
      </c>
      <c r="B71" s="55"/>
      <c r="C71" s="64"/>
      <c r="D71" s="68"/>
      <c r="E71" s="68">
        <v>3225.2</v>
      </c>
      <c r="F71" s="61">
        <f t="shared" si="2"/>
        <v>3225.2</v>
      </c>
      <c r="G71" s="177" t="e">
        <f t="shared" si="3"/>
        <v>#DIV/0!</v>
      </c>
    </row>
    <row r="72" spans="1:7" ht="27.75" customHeight="1">
      <c r="A72" s="45" t="s">
        <v>550</v>
      </c>
      <c r="B72" s="55"/>
      <c r="C72" s="64"/>
      <c r="D72" s="68"/>
      <c r="E72" s="68">
        <v>29.1</v>
      </c>
      <c r="F72" s="61">
        <f t="shared" si="2"/>
        <v>29.1</v>
      </c>
      <c r="G72" s="177" t="e">
        <f t="shared" si="3"/>
        <v>#DIV/0!</v>
      </c>
    </row>
    <row r="73" spans="1:7" ht="27.75" customHeight="1">
      <c r="A73" s="45" t="s">
        <v>551</v>
      </c>
      <c r="B73" s="55"/>
      <c r="C73" s="64"/>
      <c r="D73" s="68"/>
      <c r="E73" s="68">
        <v>1495.1</v>
      </c>
      <c r="F73" s="61">
        <f t="shared" si="2"/>
        <v>1495.1</v>
      </c>
      <c r="G73" s="177" t="e">
        <f t="shared" si="3"/>
        <v>#DIV/0!</v>
      </c>
    </row>
    <row r="74" spans="1:7" ht="42" customHeight="1">
      <c r="A74" s="45" t="s">
        <v>552</v>
      </c>
      <c r="B74" s="55"/>
      <c r="C74" s="64"/>
      <c r="D74" s="68"/>
      <c r="E74" s="68">
        <v>242.5</v>
      </c>
      <c r="F74" s="61">
        <f t="shared" si="2"/>
        <v>242.5</v>
      </c>
      <c r="G74" s="177" t="e">
        <f t="shared" si="3"/>
        <v>#DIV/0!</v>
      </c>
    </row>
    <row r="75" spans="1:7" ht="27.75" customHeight="1">
      <c r="A75" s="45" t="s">
        <v>553</v>
      </c>
      <c r="B75" s="55"/>
      <c r="C75" s="64"/>
      <c r="D75" s="68"/>
      <c r="E75" s="68">
        <v>242.5</v>
      </c>
      <c r="F75" s="61">
        <f t="shared" si="2"/>
        <v>242.5</v>
      </c>
      <c r="G75" s="177" t="e">
        <f t="shared" si="3"/>
        <v>#DIV/0!</v>
      </c>
    </row>
    <row r="76" spans="1:7" ht="42" customHeight="1">
      <c r="A76" s="45" t="s">
        <v>554</v>
      </c>
      <c r="B76" s="55"/>
      <c r="C76" s="64"/>
      <c r="D76" s="68"/>
      <c r="E76" s="68">
        <v>60.7</v>
      </c>
      <c r="F76" s="61">
        <f t="shared" si="2"/>
        <v>60.7</v>
      </c>
      <c r="G76" s="177" t="e">
        <f t="shared" si="3"/>
        <v>#DIV/0!</v>
      </c>
    </row>
    <row r="77" spans="1:7" ht="24" customHeight="1">
      <c r="A77" s="45" t="s">
        <v>555</v>
      </c>
      <c r="B77" s="55"/>
      <c r="C77" s="64"/>
      <c r="D77" s="68"/>
      <c r="E77" s="68">
        <v>519.29999999999995</v>
      </c>
      <c r="F77" s="61">
        <f t="shared" si="2"/>
        <v>519.29999999999995</v>
      </c>
      <c r="G77" s="177" t="e">
        <f t="shared" si="3"/>
        <v>#DIV/0!</v>
      </c>
    </row>
    <row r="78" spans="1:7" ht="38.25" customHeight="1">
      <c r="A78" s="45" t="s">
        <v>556</v>
      </c>
      <c r="B78" s="55"/>
      <c r="C78" s="64"/>
      <c r="D78" s="68"/>
      <c r="E78" s="68">
        <v>170.4</v>
      </c>
      <c r="F78" s="61">
        <f t="shared" si="2"/>
        <v>170.4</v>
      </c>
      <c r="G78" s="177" t="e">
        <f t="shared" si="3"/>
        <v>#DIV/0!</v>
      </c>
    </row>
    <row r="79" spans="1:7" ht="24" customHeight="1">
      <c r="A79" s="45" t="s">
        <v>557</v>
      </c>
      <c r="B79" s="55"/>
      <c r="C79" s="64"/>
      <c r="D79" s="68"/>
      <c r="E79" s="68">
        <v>939.8</v>
      </c>
      <c r="F79" s="61">
        <f t="shared" si="2"/>
        <v>939.8</v>
      </c>
      <c r="G79" s="177" t="e">
        <f t="shared" si="3"/>
        <v>#DIV/0!</v>
      </c>
    </row>
    <row r="80" spans="1:7" ht="27.75" customHeight="1">
      <c r="A80" s="45" t="s">
        <v>558</v>
      </c>
      <c r="B80" s="55"/>
      <c r="C80" s="64"/>
      <c r="D80" s="68"/>
      <c r="E80" s="68">
        <v>2980</v>
      </c>
      <c r="F80" s="61">
        <f t="shared" si="2"/>
        <v>2980</v>
      </c>
      <c r="G80" s="177" t="e">
        <f t="shared" si="3"/>
        <v>#DIV/0!</v>
      </c>
    </row>
    <row r="81" spans="1:7" ht="35.25" customHeight="1">
      <c r="A81" s="45" t="s">
        <v>559</v>
      </c>
      <c r="B81" s="55"/>
      <c r="C81" s="64"/>
      <c r="D81" s="64"/>
      <c r="E81" s="64">
        <v>220.5</v>
      </c>
      <c r="F81" s="61">
        <f t="shared" si="2"/>
        <v>220.5</v>
      </c>
      <c r="G81" s="177" t="e">
        <f t="shared" si="3"/>
        <v>#DIV/0!</v>
      </c>
    </row>
    <row r="82" spans="1:7" ht="23.25" customHeight="1">
      <c r="A82" s="65" t="s">
        <v>217</v>
      </c>
      <c r="B82" s="55"/>
      <c r="C82" s="64"/>
      <c r="D82" s="64"/>
      <c r="E82" s="64">
        <v>162.5</v>
      </c>
      <c r="F82" s="61">
        <f t="shared" si="2"/>
        <v>162.5</v>
      </c>
      <c r="G82" s="177" t="e">
        <f t="shared" si="3"/>
        <v>#DIV/0!</v>
      </c>
    </row>
    <row r="83" spans="1:7" ht="22.5" customHeight="1">
      <c r="A83" s="74" t="s">
        <v>318</v>
      </c>
      <c r="B83" s="55"/>
      <c r="C83" s="64"/>
      <c r="D83" s="64"/>
      <c r="E83" s="64">
        <v>103.9</v>
      </c>
      <c r="F83" s="61">
        <f t="shared" si="2"/>
        <v>103.9</v>
      </c>
      <c r="G83" s="177" t="e">
        <f t="shared" si="3"/>
        <v>#DIV/0!</v>
      </c>
    </row>
    <row r="84" spans="1:7" ht="37.5" customHeight="1">
      <c r="A84" s="74" t="s">
        <v>319</v>
      </c>
      <c r="B84" s="55"/>
      <c r="C84" s="64"/>
      <c r="D84" s="64"/>
      <c r="E84" s="64">
        <v>158.6</v>
      </c>
      <c r="F84" s="61">
        <f t="shared" si="2"/>
        <v>158.6</v>
      </c>
      <c r="G84" s="177" t="e">
        <f t="shared" si="3"/>
        <v>#DIV/0!</v>
      </c>
    </row>
    <row r="85" spans="1:7" ht="25.5" customHeight="1">
      <c r="A85" s="74" t="s">
        <v>320</v>
      </c>
      <c r="B85" s="55"/>
      <c r="C85" s="64"/>
      <c r="D85" s="64"/>
      <c r="E85" s="64">
        <v>50.4</v>
      </c>
      <c r="F85" s="61">
        <f t="shared" si="2"/>
        <v>50.4</v>
      </c>
      <c r="G85" s="177" t="e">
        <f t="shared" si="3"/>
        <v>#DIV/0!</v>
      </c>
    </row>
    <row r="86" spans="1:7" ht="37.5" customHeight="1">
      <c r="A86" s="74" t="s">
        <v>332</v>
      </c>
      <c r="B86" s="55"/>
      <c r="C86" s="64"/>
      <c r="D86" s="64"/>
      <c r="E86" s="64">
        <v>2022.6</v>
      </c>
      <c r="F86" s="61">
        <f t="shared" si="2"/>
        <v>2022.6</v>
      </c>
      <c r="G86" s="177" t="e">
        <f t="shared" si="3"/>
        <v>#DIV/0!</v>
      </c>
    </row>
    <row r="87" spans="1:7" ht="26.25" customHeight="1">
      <c r="A87" s="74" t="s">
        <v>333</v>
      </c>
      <c r="B87" s="55"/>
      <c r="C87" s="64"/>
      <c r="D87" s="64"/>
      <c r="E87" s="64">
        <v>455.4</v>
      </c>
      <c r="F87" s="61">
        <f t="shared" si="2"/>
        <v>455.4</v>
      </c>
      <c r="G87" s="177" t="e">
        <f t="shared" si="3"/>
        <v>#DIV/0!</v>
      </c>
    </row>
    <row r="88" spans="1:7" ht="24.75" customHeight="1">
      <c r="A88" s="75" t="s">
        <v>334</v>
      </c>
      <c r="B88" s="55"/>
      <c r="C88" s="64"/>
      <c r="D88" s="64"/>
      <c r="E88" s="64">
        <v>235.3</v>
      </c>
      <c r="F88" s="61">
        <f t="shared" si="2"/>
        <v>235.3</v>
      </c>
      <c r="G88" s="177" t="e">
        <f t="shared" si="3"/>
        <v>#DIV/0!</v>
      </c>
    </row>
    <row r="89" spans="1:7" ht="37.5" customHeight="1">
      <c r="A89" s="74" t="s">
        <v>335</v>
      </c>
      <c r="B89" s="55"/>
      <c r="C89" s="64"/>
      <c r="D89" s="64"/>
      <c r="E89" s="64">
        <v>307.5</v>
      </c>
      <c r="F89" s="61">
        <f t="shared" si="2"/>
        <v>307.5</v>
      </c>
      <c r="G89" s="177" t="e">
        <f t="shared" si="3"/>
        <v>#DIV/0!</v>
      </c>
    </row>
    <row r="90" spans="1:7" ht="37.5" customHeight="1">
      <c r="A90" s="74" t="s">
        <v>362</v>
      </c>
      <c r="B90" s="55"/>
      <c r="C90" s="64"/>
      <c r="D90" s="64"/>
      <c r="E90" s="64">
        <v>45.7</v>
      </c>
      <c r="F90" s="61">
        <f t="shared" si="2"/>
        <v>45.7</v>
      </c>
      <c r="G90" s="177" t="e">
        <f t="shared" si="3"/>
        <v>#DIV/0!</v>
      </c>
    </row>
    <row r="91" spans="1:7" ht="25.5" customHeight="1">
      <c r="A91" s="74" t="s">
        <v>363</v>
      </c>
      <c r="B91" s="55"/>
      <c r="C91" s="64"/>
      <c r="D91" s="64"/>
      <c r="E91" s="64">
        <v>106.1</v>
      </c>
      <c r="F91" s="61">
        <f t="shared" si="2"/>
        <v>106.1</v>
      </c>
      <c r="G91" s="177" t="e">
        <f t="shared" si="3"/>
        <v>#DIV/0!</v>
      </c>
    </row>
    <row r="92" spans="1:7" ht="37.5" customHeight="1">
      <c r="A92" s="74" t="s">
        <v>364</v>
      </c>
      <c r="B92" s="55"/>
      <c r="C92" s="64"/>
      <c r="D92" s="64"/>
      <c r="E92" s="64">
        <v>341.1</v>
      </c>
      <c r="F92" s="61">
        <f t="shared" si="2"/>
        <v>341.1</v>
      </c>
      <c r="G92" s="177" t="e">
        <f t="shared" si="3"/>
        <v>#DIV/0!</v>
      </c>
    </row>
    <row r="93" spans="1:7" ht="27" customHeight="1">
      <c r="A93" s="74" t="s">
        <v>397</v>
      </c>
      <c r="B93" s="55"/>
      <c r="C93" s="64"/>
      <c r="D93" s="64"/>
      <c r="E93" s="64">
        <v>3650</v>
      </c>
      <c r="F93" s="61">
        <f t="shared" si="2"/>
        <v>3650</v>
      </c>
      <c r="G93" s="177" t="e">
        <f t="shared" si="3"/>
        <v>#DIV/0!</v>
      </c>
    </row>
    <row r="94" spans="1:7" ht="26.25" customHeight="1">
      <c r="A94" s="74" t="s">
        <v>398</v>
      </c>
      <c r="B94" s="55"/>
      <c r="C94" s="64"/>
      <c r="D94" s="64"/>
      <c r="E94" s="64">
        <v>290</v>
      </c>
      <c r="F94" s="61">
        <f t="shared" si="2"/>
        <v>290</v>
      </c>
      <c r="G94" s="177" t="e">
        <f t="shared" si="3"/>
        <v>#DIV/0!</v>
      </c>
    </row>
    <row r="95" spans="1:7" ht="26.25" customHeight="1">
      <c r="A95" s="74" t="s">
        <v>399</v>
      </c>
      <c r="B95" s="55"/>
      <c r="C95" s="64"/>
      <c r="D95" s="64"/>
      <c r="E95" s="64">
        <v>46</v>
      </c>
      <c r="F95" s="61">
        <f t="shared" si="2"/>
        <v>46</v>
      </c>
      <c r="G95" s="177" t="e">
        <f t="shared" si="3"/>
        <v>#DIV/0!</v>
      </c>
    </row>
    <row r="96" spans="1:7" ht="25.5" customHeight="1">
      <c r="A96" s="74" t="s">
        <v>399</v>
      </c>
      <c r="B96" s="55"/>
      <c r="C96" s="64"/>
      <c r="D96" s="64"/>
      <c r="E96" s="64">
        <v>40</v>
      </c>
      <c r="F96" s="61">
        <f t="shared" si="2"/>
        <v>40</v>
      </c>
      <c r="G96" s="177" t="e">
        <f t="shared" si="3"/>
        <v>#DIV/0!</v>
      </c>
    </row>
    <row r="97" spans="1:11" ht="37.5" customHeight="1">
      <c r="A97" s="74" t="s">
        <v>400</v>
      </c>
      <c r="B97" s="55"/>
      <c r="C97" s="64"/>
      <c r="D97" s="64"/>
      <c r="E97" s="64">
        <v>911.8</v>
      </c>
      <c r="F97" s="61">
        <f t="shared" si="2"/>
        <v>911.8</v>
      </c>
      <c r="G97" s="177" t="e">
        <f t="shared" si="3"/>
        <v>#DIV/0!</v>
      </c>
    </row>
    <row r="98" spans="1:11" s="76" customFormat="1" ht="38.25" customHeight="1">
      <c r="A98" s="170" t="s">
        <v>7</v>
      </c>
      <c r="B98" s="171">
        <v>4030</v>
      </c>
      <c r="C98" s="80">
        <f>SUM(C99:C226)</f>
        <v>297.7</v>
      </c>
      <c r="D98" s="80">
        <f>D163</f>
        <v>0</v>
      </c>
      <c r="E98" s="80">
        <f>SUM(E99:E226)</f>
        <v>784.70000000000027</v>
      </c>
      <c r="F98" s="80">
        <f t="shared" si="2"/>
        <v>784.70000000000027</v>
      </c>
      <c r="G98" s="178" t="e">
        <f t="shared" si="3"/>
        <v>#DIV/0!</v>
      </c>
      <c r="J98" s="77"/>
      <c r="K98" s="77"/>
    </row>
    <row r="99" spans="1:11" s="76" customFormat="1" ht="38.25" customHeight="1">
      <c r="A99" s="65" t="s">
        <v>287</v>
      </c>
      <c r="B99" s="78"/>
      <c r="C99" s="64">
        <v>5.8</v>
      </c>
      <c r="D99" s="79"/>
      <c r="E99" s="79"/>
      <c r="F99" s="80">
        <f t="shared" si="2"/>
        <v>0</v>
      </c>
      <c r="G99" s="177" t="e">
        <f t="shared" si="3"/>
        <v>#DIV/0!</v>
      </c>
    </row>
    <row r="100" spans="1:11" s="76" customFormat="1" ht="38.25" customHeight="1">
      <c r="A100" s="65" t="s">
        <v>489</v>
      </c>
      <c r="B100" s="78"/>
      <c r="C100" s="64">
        <v>0.5</v>
      </c>
      <c r="D100" s="79"/>
      <c r="E100" s="79"/>
      <c r="F100" s="80">
        <f t="shared" si="2"/>
        <v>0</v>
      </c>
      <c r="G100" s="177" t="e">
        <f t="shared" si="3"/>
        <v>#DIV/0!</v>
      </c>
      <c r="J100" s="77"/>
    </row>
    <row r="101" spans="1:11" s="76" customFormat="1" ht="30.75" customHeight="1">
      <c r="A101" s="65" t="s">
        <v>289</v>
      </c>
      <c r="B101" s="78"/>
      <c r="C101" s="64">
        <v>5.2</v>
      </c>
      <c r="D101" s="79"/>
      <c r="E101" s="79"/>
      <c r="F101" s="80">
        <f t="shared" si="2"/>
        <v>0</v>
      </c>
      <c r="G101" s="177" t="e">
        <f t="shared" si="3"/>
        <v>#DIV/0!</v>
      </c>
      <c r="J101" s="77"/>
    </row>
    <row r="102" spans="1:11" s="76" customFormat="1" ht="38.25" customHeight="1">
      <c r="A102" s="65" t="s">
        <v>490</v>
      </c>
      <c r="B102" s="78"/>
      <c r="C102" s="64">
        <v>0.7</v>
      </c>
      <c r="D102" s="79"/>
      <c r="E102" s="79"/>
      <c r="F102" s="80">
        <f t="shared" si="2"/>
        <v>0</v>
      </c>
      <c r="G102" s="177" t="e">
        <f t="shared" si="3"/>
        <v>#DIV/0!</v>
      </c>
      <c r="K102" s="77"/>
    </row>
    <row r="103" spans="1:11" s="76" customFormat="1" ht="30" customHeight="1">
      <c r="A103" s="65" t="s">
        <v>288</v>
      </c>
      <c r="B103" s="78"/>
      <c r="C103" s="64">
        <v>5</v>
      </c>
      <c r="D103" s="79"/>
      <c r="E103" s="79"/>
      <c r="F103" s="80">
        <f t="shared" si="2"/>
        <v>0</v>
      </c>
      <c r="G103" s="177" t="e">
        <f t="shared" si="3"/>
        <v>#DIV/0!</v>
      </c>
    </row>
    <row r="104" spans="1:11" s="76" customFormat="1" ht="26.25" customHeight="1">
      <c r="A104" s="65" t="s">
        <v>290</v>
      </c>
      <c r="B104" s="78"/>
      <c r="C104" s="64">
        <v>25.2</v>
      </c>
      <c r="D104" s="79"/>
      <c r="E104" s="79"/>
      <c r="F104" s="80">
        <f t="shared" si="2"/>
        <v>0</v>
      </c>
      <c r="G104" s="177" t="e">
        <f t="shared" si="3"/>
        <v>#DIV/0!</v>
      </c>
    </row>
    <row r="105" spans="1:11" s="76" customFormat="1" ht="31.5" customHeight="1">
      <c r="A105" s="65" t="s">
        <v>291</v>
      </c>
      <c r="B105" s="78"/>
      <c r="C105" s="64">
        <v>16.8</v>
      </c>
      <c r="D105" s="79"/>
      <c r="E105" s="79"/>
      <c r="F105" s="80">
        <f t="shared" si="2"/>
        <v>0</v>
      </c>
      <c r="G105" s="177" t="e">
        <f t="shared" si="3"/>
        <v>#DIV/0!</v>
      </c>
    </row>
    <row r="106" spans="1:11" s="76" customFormat="1" ht="30.75" customHeight="1">
      <c r="A106" s="65" t="s">
        <v>292</v>
      </c>
      <c r="B106" s="78"/>
      <c r="C106" s="64">
        <v>1.3</v>
      </c>
      <c r="D106" s="79"/>
      <c r="E106" s="79"/>
      <c r="F106" s="80">
        <f t="shared" si="2"/>
        <v>0</v>
      </c>
      <c r="G106" s="177" t="e">
        <f t="shared" si="3"/>
        <v>#DIV/0!</v>
      </c>
    </row>
    <row r="107" spans="1:11" s="76" customFormat="1" ht="30.75" customHeight="1">
      <c r="A107" s="65" t="s">
        <v>293</v>
      </c>
      <c r="B107" s="78"/>
      <c r="C107" s="64">
        <v>4.9000000000000004</v>
      </c>
      <c r="D107" s="79"/>
      <c r="E107" s="79"/>
      <c r="F107" s="80">
        <f t="shared" si="2"/>
        <v>0</v>
      </c>
      <c r="G107" s="177" t="e">
        <f t="shared" si="3"/>
        <v>#DIV/0!</v>
      </c>
    </row>
    <row r="108" spans="1:11" s="76" customFormat="1" ht="27.75" customHeight="1">
      <c r="A108" s="65" t="s">
        <v>294</v>
      </c>
      <c r="B108" s="78"/>
      <c r="C108" s="64">
        <v>2.2999999999999998</v>
      </c>
      <c r="D108" s="79"/>
      <c r="E108" s="79"/>
      <c r="F108" s="80">
        <f t="shared" si="2"/>
        <v>0</v>
      </c>
      <c r="G108" s="177" t="e">
        <f t="shared" si="3"/>
        <v>#DIV/0!</v>
      </c>
    </row>
    <row r="109" spans="1:11" s="76" customFormat="1" ht="30.75" customHeight="1">
      <c r="A109" s="65" t="s">
        <v>295</v>
      </c>
      <c r="B109" s="78"/>
      <c r="C109" s="64">
        <v>0.4</v>
      </c>
      <c r="D109" s="79"/>
      <c r="E109" s="79"/>
      <c r="F109" s="80">
        <f t="shared" si="2"/>
        <v>0</v>
      </c>
      <c r="G109" s="177" t="e">
        <f t="shared" si="3"/>
        <v>#DIV/0!</v>
      </c>
    </row>
    <row r="110" spans="1:11" s="76" customFormat="1" ht="38.25" customHeight="1">
      <c r="A110" s="65" t="s">
        <v>296</v>
      </c>
      <c r="B110" s="78"/>
      <c r="C110" s="64">
        <v>4.8</v>
      </c>
      <c r="D110" s="79"/>
      <c r="E110" s="79"/>
      <c r="F110" s="80">
        <f t="shared" si="2"/>
        <v>0</v>
      </c>
      <c r="G110" s="177" t="e">
        <f t="shared" si="3"/>
        <v>#DIV/0!</v>
      </c>
    </row>
    <row r="111" spans="1:11" s="76" customFormat="1" ht="30" customHeight="1">
      <c r="A111" s="65" t="s">
        <v>297</v>
      </c>
      <c r="B111" s="78"/>
      <c r="C111" s="64">
        <v>6.2</v>
      </c>
      <c r="D111" s="79"/>
      <c r="E111" s="79"/>
      <c r="F111" s="80">
        <f t="shared" si="2"/>
        <v>0</v>
      </c>
      <c r="G111" s="177" t="e">
        <f t="shared" si="3"/>
        <v>#DIV/0!</v>
      </c>
    </row>
    <row r="112" spans="1:11" s="76" customFormat="1" ht="30.75" customHeight="1">
      <c r="A112" s="65" t="s">
        <v>298</v>
      </c>
      <c r="B112" s="78"/>
      <c r="C112" s="64">
        <v>1.5</v>
      </c>
      <c r="D112" s="79"/>
      <c r="E112" s="79"/>
      <c r="F112" s="80">
        <f t="shared" si="2"/>
        <v>0</v>
      </c>
      <c r="G112" s="177" t="e">
        <f t="shared" si="3"/>
        <v>#DIV/0!</v>
      </c>
    </row>
    <row r="113" spans="1:7" s="76" customFormat="1" ht="30" customHeight="1">
      <c r="A113" s="65" t="s">
        <v>299</v>
      </c>
      <c r="B113" s="78"/>
      <c r="C113" s="64">
        <v>9.9</v>
      </c>
      <c r="D113" s="79"/>
      <c r="E113" s="79"/>
      <c r="F113" s="80">
        <f t="shared" si="2"/>
        <v>0</v>
      </c>
      <c r="G113" s="177" t="e">
        <f t="shared" si="3"/>
        <v>#DIV/0!</v>
      </c>
    </row>
    <row r="114" spans="1:7" s="76" customFormat="1" ht="28.5" customHeight="1">
      <c r="A114" s="65" t="s">
        <v>300</v>
      </c>
      <c r="B114" s="78"/>
      <c r="C114" s="64">
        <v>4.5</v>
      </c>
      <c r="D114" s="79"/>
      <c r="E114" s="79"/>
      <c r="F114" s="80">
        <f t="shared" si="2"/>
        <v>0</v>
      </c>
      <c r="G114" s="177" t="e">
        <f t="shared" si="3"/>
        <v>#DIV/0!</v>
      </c>
    </row>
    <row r="115" spans="1:7" s="76" customFormat="1" ht="30.75" customHeight="1">
      <c r="A115" s="65" t="s">
        <v>301</v>
      </c>
      <c r="B115" s="78"/>
      <c r="C115" s="64">
        <v>3.1</v>
      </c>
      <c r="D115" s="79"/>
      <c r="E115" s="79"/>
      <c r="F115" s="80">
        <f t="shared" si="2"/>
        <v>0</v>
      </c>
      <c r="G115" s="177" t="e">
        <f t="shared" si="3"/>
        <v>#DIV/0!</v>
      </c>
    </row>
    <row r="116" spans="1:7" s="76" customFormat="1" ht="32.25" customHeight="1">
      <c r="A116" s="65" t="s">
        <v>302</v>
      </c>
      <c r="B116" s="78"/>
      <c r="C116" s="64">
        <v>1.6</v>
      </c>
      <c r="D116" s="79"/>
      <c r="E116" s="79"/>
      <c r="F116" s="80">
        <f t="shared" si="2"/>
        <v>0</v>
      </c>
      <c r="G116" s="177" t="e">
        <f t="shared" si="3"/>
        <v>#DIV/0!</v>
      </c>
    </row>
    <row r="117" spans="1:7" s="76" customFormat="1" ht="33.75" customHeight="1">
      <c r="A117" s="65" t="s">
        <v>303</v>
      </c>
      <c r="B117" s="78"/>
      <c r="C117" s="64">
        <v>4.8</v>
      </c>
      <c r="D117" s="79"/>
      <c r="E117" s="79"/>
      <c r="F117" s="80">
        <f t="shared" si="2"/>
        <v>0</v>
      </c>
      <c r="G117" s="177" t="e">
        <f t="shared" si="3"/>
        <v>#DIV/0!</v>
      </c>
    </row>
    <row r="118" spans="1:7" s="76" customFormat="1" ht="31.5" customHeight="1">
      <c r="A118" s="65" t="s">
        <v>304</v>
      </c>
      <c r="B118" s="78"/>
      <c r="C118" s="64">
        <v>0.8</v>
      </c>
      <c r="D118" s="79"/>
      <c r="E118" s="79"/>
      <c r="F118" s="80">
        <f t="shared" si="2"/>
        <v>0</v>
      </c>
      <c r="G118" s="177" t="e">
        <f t="shared" si="3"/>
        <v>#DIV/0!</v>
      </c>
    </row>
    <row r="119" spans="1:7" s="76" customFormat="1" ht="30" customHeight="1">
      <c r="A119" s="65" t="s">
        <v>305</v>
      </c>
      <c r="B119" s="78"/>
      <c r="C119" s="64">
        <v>1.2</v>
      </c>
      <c r="D119" s="79"/>
      <c r="E119" s="79"/>
      <c r="F119" s="80">
        <f t="shared" si="2"/>
        <v>0</v>
      </c>
      <c r="G119" s="177" t="e">
        <f t="shared" si="3"/>
        <v>#DIV/0!</v>
      </c>
    </row>
    <row r="120" spans="1:7" s="76" customFormat="1" ht="38.25" customHeight="1">
      <c r="A120" s="65" t="s">
        <v>306</v>
      </c>
      <c r="B120" s="78"/>
      <c r="C120" s="64">
        <v>0.6</v>
      </c>
      <c r="D120" s="79"/>
      <c r="E120" s="79"/>
      <c r="F120" s="80">
        <f t="shared" si="2"/>
        <v>0</v>
      </c>
      <c r="G120" s="177" t="e">
        <f t="shared" si="3"/>
        <v>#DIV/0!</v>
      </c>
    </row>
    <row r="121" spans="1:7" s="76" customFormat="1" ht="30.75" customHeight="1">
      <c r="A121" s="65" t="s">
        <v>307</v>
      </c>
      <c r="B121" s="78"/>
      <c r="C121" s="64">
        <v>1.6</v>
      </c>
      <c r="D121" s="79"/>
      <c r="E121" s="79"/>
      <c r="F121" s="80">
        <f t="shared" si="2"/>
        <v>0</v>
      </c>
      <c r="G121" s="177" t="e">
        <f t="shared" si="3"/>
        <v>#DIV/0!</v>
      </c>
    </row>
    <row r="122" spans="1:7" s="76" customFormat="1" ht="27" customHeight="1">
      <c r="A122" s="65" t="s">
        <v>308</v>
      </c>
      <c r="B122" s="78"/>
      <c r="C122" s="64">
        <v>5.7</v>
      </c>
      <c r="D122" s="79"/>
      <c r="E122" s="79"/>
      <c r="F122" s="80">
        <f t="shared" si="2"/>
        <v>0</v>
      </c>
      <c r="G122" s="177" t="e">
        <f t="shared" si="3"/>
        <v>#DIV/0!</v>
      </c>
    </row>
    <row r="123" spans="1:7" s="76" customFormat="1" ht="31.5" customHeight="1">
      <c r="A123" s="65" t="s">
        <v>309</v>
      </c>
      <c r="B123" s="78"/>
      <c r="C123" s="64">
        <v>5.5</v>
      </c>
      <c r="D123" s="79"/>
      <c r="E123" s="79"/>
      <c r="F123" s="80">
        <f t="shared" si="2"/>
        <v>0</v>
      </c>
      <c r="G123" s="177" t="e">
        <f t="shared" si="3"/>
        <v>#DIV/0!</v>
      </c>
    </row>
    <row r="124" spans="1:7" s="76" customFormat="1" ht="30.75" customHeight="1">
      <c r="A124" s="65" t="s">
        <v>310</v>
      </c>
      <c r="B124" s="78"/>
      <c r="C124" s="64">
        <v>24.5</v>
      </c>
      <c r="D124" s="79"/>
      <c r="E124" s="79"/>
      <c r="F124" s="80">
        <f t="shared" si="2"/>
        <v>0</v>
      </c>
      <c r="G124" s="177" t="e">
        <f t="shared" si="3"/>
        <v>#DIV/0!</v>
      </c>
    </row>
    <row r="125" spans="1:7" s="76" customFormat="1" ht="28.5" customHeight="1">
      <c r="A125" s="65" t="s">
        <v>311</v>
      </c>
      <c r="B125" s="78"/>
      <c r="C125" s="64">
        <v>2.2999999999999998</v>
      </c>
      <c r="D125" s="79"/>
      <c r="E125" s="79"/>
      <c r="F125" s="80">
        <f t="shared" si="2"/>
        <v>0</v>
      </c>
      <c r="G125" s="177" t="e">
        <f t="shared" si="3"/>
        <v>#DIV/0!</v>
      </c>
    </row>
    <row r="126" spans="1:7" s="76" customFormat="1" ht="31.5" customHeight="1">
      <c r="A126" s="65" t="s">
        <v>312</v>
      </c>
      <c r="B126" s="78"/>
      <c r="C126" s="64">
        <v>0.7</v>
      </c>
      <c r="D126" s="79"/>
      <c r="E126" s="79"/>
      <c r="F126" s="80">
        <f t="shared" si="2"/>
        <v>0</v>
      </c>
      <c r="G126" s="177" t="e">
        <f t="shared" si="3"/>
        <v>#DIV/0!</v>
      </c>
    </row>
    <row r="127" spans="1:7" s="76" customFormat="1" ht="38.25" customHeight="1">
      <c r="A127" s="65" t="s">
        <v>313</v>
      </c>
      <c r="B127" s="78"/>
      <c r="C127" s="64">
        <v>0.4</v>
      </c>
      <c r="D127" s="79"/>
      <c r="E127" s="79"/>
      <c r="F127" s="80">
        <f t="shared" si="2"/>
        <v>0</v>
      </c>
      <c r="G127" s="177" t="e">
        <f t="shared" si="3"/>
        <v>#DIV/0!</v>
      </c>
    </row>
    <row r="128" spans="1:7" s="76" customFormat="1" ht="34.5" customHeight="1">
      <c r="A128" s="65" t="s">
        <v>491</v>
      </c>
      <c r="B128" s="78"/>
      <c r="C128" s="64">
        <v>17.899999999999999</v>
      </c>
      <c r="D128" s="79"/>
      <c r="E128" s="79"/>
      <c r="F128" s="80">
        <f t="shared" si="2"/>
        <v>0</v>
      </c>
      <c r="G128" s="177" t="e">
        <f t="shared" si="3"/>
        <v>#DIV/0!</v>
      </c>
    </row>
    <row r="129" spans="1:7" s="76" customFormat="1" ht="34.5" customHeight="1">
      <c r="A129" s="65" t="s">
        <v>492</v>
      </c>
      <c r="B129" s="78"/>
      <c r="C129" s="64">
        <v>7.4</v>
      </c>
      <c r="D129" s="79"/>
      <c r="E129" s="79"/>
      <c r="F129" s="80">
        <f t="shared" si="2"/>
        <v>0</v>
      </c>
      <c r="G129" s="177" t="e">
        <f t="shared" si="3"/>
        <v>#DIV/0!</v>
      </c>
    </row>
    <row r="130" spans="1:7" s="76" customFormat="1" ht="30" customHeight="1">
      <c r="A130" s="81" t="s">
        <v>493</v>
      </c>
      <c r="B130" s="78"/>
      <c r="C130" s="64">
        <v>1.6</v>
      </c>
      <c r="D130" s="79"/>
      <c r="E130" s="79"/>
      <c r="F130" s="80">
        <f t="shared" si="2"/>
        <v>0</v>
      </c>
      <c r="G130" s="177" t="e">
        <f t="shared" si="3"/>
        <v>#DIV/0!</v>
      </c>
    </row>
    <row r="131" spans="1:7" s="76" customFormat="1" ht="38.25" customHeight="1">
      <c r="A131" s="65" t="s">
        <v>314</v>
      </c>
      <c r="B131" s="78"/>
      <c r="C131" s="64">
        <v>10.7</v>
      </c>
      <c r="D131" s="79"/>
      <c r="E131" s="79"/>
      <c r="F131" s="80">
        <f t="shared" si="2"/>
        <v>0</v>
      </c>
      <c r="G131" s="177" t="e">
        <f t="shared" si="3"/>
        <v>#DIV/0!</v>
      </c>
    </row>
    <row r="132" spans="1:7" s="76" customFormat="1" ht="38.25" customHeight="1">
      <c r="A132" s="82" t="s">
        <v>494</v>
      </c>
      <c r="B132" s="78"/>
      <c r="C132" s="64">
        <f>5.2+6.4</f>
        <v>11.600000000000001</v>
      </c>
      <c r="D132" s="79"/>
      <c r="E132" s="79"/>
      <c r="F132" s="80">
        <f t="shared" si="2"/>
        <v>0</v>
      </c>
      <c r="G132" s="177" t="e">
        <f t="shared" si="3"/>
        <v>#DIV/0!</v>
      </c>
    </row>
    <row r="133" spans="1:7" s="76" customFormat="1" ht="38.25" customHeight="1">
      <c r="A133" s="83" t="s">
        <v>315</v>
      </c>
      <c r="B133" s="78"/>
      <c r="C133" s="64">
        <v>8</v>
      </c>
      <c r="D133" s="79"/>
      <c r="E133" s="79"/>
      <c r="F133" s="80">
        <f t="shared" ref="F133:F196" si="4">E133-D133</f>
        <v>0</v>
      </c>
      <c r="G133" s="177" t="e">
        <f t="shared" ref="G133:G196" si="5">(E133/D133)*100</f>
        <v>#DIV/0!</v>
      </c>
    </row>
    <row r="134" spans="1:7" s="76" customFormat="1" ht="38.25" customHeight="1">
      <c r="A134" s="82" t="s">
        <v>316</v>
      </c>
      <c r="B134" s="78"/>
      <c r="C134" s="64">
        <v>4.5999999999999996</v>
      </c>
      <c r="D134" s="79"/>
      <c r="E134" s="79"/>
      <c r="F134" s="80">
        <f t="shared" si="4"/>
        <v>0</v>
      </c>
      <c r="G134" s="177" t="e">
        <f t="shared" si="5"/>
        <v>#DIV/0!</v>
      </c>
    </row>
    <row r="135" spans="1:7" s="76" customFormat="1" ht="32.25" customHeight="1">
      <c r="A135" s="82" t="s">
        <v>317</v>
      </c>
      <c r="B135" s="78"/>
      <c r="C135" s="64">
        <v>2.1</v>
      </c>
      <c r="D135" s="79"/>
      <c r="E135" s="79"/>
      <c r="F135" s="80">
        <f t="shared" si="4"/>
        <v>0</v>
      </c>
      <c r="G135" s="177" t="e">
        <f t="shared" si="5"/>
        <v>#DIV/0!</v>
      </c>
    </row>
    <row r="136" spans="1:7" s="76" customFormat="1" ht="30.75" customHeight="1">
      <c r="A136" s="81" t="s">
        <v>495</v>
      </c>
      <c r="B136" s="78"/>
      <c r="C136" s="64">
        <v>0.3</v>
      </c>
      <c r="D136" s="79"/>
      <c r="E136" s="79"/>
      <c r="F136" s="80">
        <f t="shared" si="4"/>
        <v>0</v>
      </c>
      <c r="G136" s="177" t="e">
        <f t="shared" si="5"/>
        <v>#DIV/0!</v>
      </c>
    </row>
    <row r="137" spans="1:7" s="76" customFormat="1" ht="30" customHeight="1">
      <c r="A137" s="81" t="s">
        <v>496</v>
      </c>
      <c r="B137" s="78"/>
      <c r="C137" s="64">
        <v>0.4</v>
      </c>
      <c r="D137" s="79"/>
      <c r="E137" s="79"/>
      <c r="F137" s="80">
        <f t="shared" si="4"/>
        <v>0</v>
      </c>
      <c r="G137" s="177" t="e">
        <f t="shared" si="5"/>
        <v>#DIV/0!</v>
      </c>
    </row>
    <row r="138" spans="1:7" s="76" customFormat="1" ht="30" customHeight="1">
      <c r="A138" s="81" t="s">
        <v>497</v>
      </c>
      <c r="B138" s="78"/>
      <c r="C138" s="64">
        <v>0.7</v>
      </c>
      <c r="D138" s="79"/>
      <c r="E138" s="79"/>
      <c r="F138" s="80">
        <f t="shared" si="4"/>
        <v>0</v>
      </c>
      <c r="G138" s="177" t="e">
        <f t="shared" si="5"/>
        <v>#DIV/0!</v>
      </c>
    </row>
    <row r="139" spans="1:7" s="76" customFormat="1" ht="38.25" customHeight="1">
      <c r="A139" s="84" t="s">
        <v>498</v>
      </c>
      <c r="B139" s="78"/>
      <c r="C139" s="64">
        <f>1.6+4</f>
        <v>5.6</v>
      </c>
      <c r="D139" s="79"/>
      <c r="E139" s="79"/>
      <c r="F139" s="80">
        <f t="shared" si="4"/>
        <v>0</v>
      </c>
      <c r="G139" s="177" t="e">
        <f t="shared" si="5"/>
        <v>#DIV/0!</v>
      </c>
    </row>
    <row r="140" spans="1:7" s="76" customFormat="1" ht="34.5" customHeight="1">
      <c r="A140" s="84" t="s">
        <v>499</v>
      </c>
      <c r="B140" s="78"/>
      <c r="C140" s="64">
        <v>2.7</v>
      </c>
      <c r="D140" s="79"/>
      <c r="E140" s="79"/>
      <c r="F140" s="80">
        <f t="shared" si="4"/>
        <v>0</v>
      </c>
      <c r="G140" s="177" t="e">
        <f t="shared" si="5"/>
        <v>#DIV/0!</v>
      </c>
    </row>
    <row r="141" spans="1:7" s="76" customFormat="1" ht="31.5" customHeight="1">
      <c r="A141" s="84" t="s">
        <v>500</v>
      </c>
      <c r="B141" s="78"/>
      <c r="C141" s="64">
        <v>5</v>
      </c>
      <c r="D141" s="79"/>
      <c r="E141" s="79"/>
      <c r="F141" s="80">
        <f t="shared" si="4"/>
        <v>0</v>
      </c>
      <c r="G141" s="177" t="e">
        <f t="shared" si="5"/>
        <v>#DIV/0!</v>
      </c>
    </row>
    <row r="142" spans="1:7" s="76" customFormat="1" ht="38.25" customHeight="1">
      <c r="A142" s="84" t="s">
        <v>501</v>
      </c>
      <c r="B142" s="78"/>
      <c r="C142" s="64">
        <v>7.6</v>
      </c>
      <c r="D142" s="79"/>
      <c r="E142" s="79"/>
      <c r="F142" s="80">
        <f t="shared" si="4"/>
        <v>0</v>
      </c>
      <c r="G142" s="177" t="e">
        <f t="shared" si="5"/>
        <v>#DIV/0!</v>
      </c>
    </row>
    <row r="143" spans="1:7" s="76" customFormat="1" ht="38.25" customHeight="1">
      <c r="A143" s="84" t="s">
        <v>502</v>
      </c>
      <c r="B143" s="78"/>
      <c r="C143" s="64">
        <v>15.3</v>
      </c>
      <c r="D143" s="79"/>
      <c r="E143" s="79"/>
      <c r="F143" s="80">
        <f t="shared" si="4"/>
        <v>0</v>
      </c>
      <c r="G143" s="177" t="e">
        <f t="shared" si="5"/>
        <v>#DIV/0!</v>
      </c>
    </row>
    <row r="144" spans="1:7" s="76" customFormat="1" ht="38.25" customHeight="1">
      <c r="A144" s="81" t="s">
        <v>478</v>
      </c>
      <c r="B144" s="78"/>
      <c r="C144" s="64">
        <v>1.4</v>
      </c>
      <c r="D144" s="79"/>
      <c r="E144" s="79"/>
      <c r="F144" s="80">
        <f t="shared" si="4"/>
        <v>0</v>
      </c>
      <c r="G144" s="177" t="e">
        <f t="shared" si="5"/>
        <v>#DIV/0!</v>
      </c>
    </row>
    <row r="145" spans="1:7" s="76" customFormat="1" ht="38.25" customHeight="1">
      <c r="A145" s="81" t="s">
        <v>479</v>
      </c>
      <c r="B145" s="78"/>
      <c r="C145" s="64">
        <v>2</v>
      </c>
      <c r="D145" s="79"/>
      <c r="E145" s="79"/>
      <c r="F145" s="80">
        <f t="shared" si="4"/>
        <v>0</v>
      </c>
      <c r="G145" s="177" t="e">
        <f t="shared" si="5"/>
        <v>#DIV/0!</v>
      </c>
    </row>
    <row r="146" spans="1:7" s="76" customFormat="1" ht="28.5" customHeight="1">
      <c r="A146" s="81" t="s">
        <v>480</v>
      </c>
      <c r="B146" s="78"/>
      <c r="C146" s="64">
        <v>3</v>
      </c>
      <c r="D146" s="79"/>
      <c r="E146" s="79"/>
      <c r="F146" s="80">
        <f t="shared" si="4"/>
        <v>0</v>
      </c>
      <c r="G146" s="177" t="e">
        <f t="shared" si="5"/>
        <v>#DIV/0!</v>
      </c>
    </row>
    <row r="147" spans="1:7" s="76" customFormat="1" ht="30" customHeight="1">
      <c r="A147" s="81" t="s">
        <v>481</v>
      </c>
      <c r="B147" s="78"/>
      <c r="C147" s="64">
        <v>3.7</v>
      </c>
      <c r="D147" s="79"/>
      <c r="E147" s="79"/>
      <c r="F147" s="80">
        <f t="shared" si="4"/>
        <v>0</v>
      </c>
      <c r="G147" s="177" t="e">
        <f t="shared" si="5"/>
        <v>#DIV/0!</v>
      </c>
    </row>
    <row r="148" spans="1:7" s="76" customFormat="1" ht="27" customHeight="1">
      <c r="A148" s="81" t="s">
        <v>482</v>
      </c>
      <c r="B148" s="78"/>
      <c r="C148" s="64">
        <f>13.8+10.4</f>
        <v>24.200000000000003</v>
      </c>
      <c r="D148" s="79"/>
      <c r="E148" s="79"/>
      <c r="F148" s="80">
        <f t="shared" si="4"/>
        <v>0</v>
      </c>
      <c r="G148" s="177" t="e">
        <f t="shared" si="5"/>
        <v>#DIV/0!</v>
      </c>
    </row>
    <row r="149" spans="1:7" s="76" customFormat="1" ht="27.75" customHeight="1">
      <c r="A149" s="81" t="s">
        <v>483</v>
      </c>
      <c r="B149" s="78"/>
      <c r="C149" s="64">
        <v>2.5</v>
      </c>
      <c r="D149" s="79"/>
      <c r="E149" s="79"/>
      <c r="F149" s="80">
        <f t="shared" si="4"/>
        <v>0</v>
      </c>
      <c r="G149" s="177" t="e">
        <f t="shared" si="5"/>
        <v>#DIV/0!</v>
      </c>
    </row>
    <row r="150" spans="1:7" s="76" customFormat="1" ht="28.5" customHeight="1">
      <c r="A150" s="81" t="s">
        <v>484</v>
      </c>
      <c r="B150" s="78"/>
      <c r="C150" s="64">
        <v>2.1</v>
      </c>
      <c r="D150" s="79"/>
      <c r="E150" s="79"/>
      <c r="F150" s="80">
        <f t="shared" si="4"/>
        <v>0</v>
      </c>
      <c r="G150" s="177" t="e">
        <f t="shared" si="5"/>
        <v>#DIV/0!</v>
      </c>
    </row>
    <row r="151" spans="1:7" s="76" customFormat="1" ht="28.5" customHeight="1">
      <c r="A151" s="81" t="s">
        <v>485</v>
      </c>
      <c r="B151" s="78"/>
      <c r="C151" s="64">
        <v>1.5</v>
      </c>
      <c r="D151" s="79"/>
      <c r="E151" s="79"/>
      <c r="F151" s="80">
        <f t="shared" si="4"/>
        <v>0</v>
      </c>
      <c r="G151" s="177" t="e">
        <f t="shared" si="5"/>
        <v>#DIV/0!</v>
      </c>
    </row>
    <row r="152" spans="1:7" s="76" customFormat="1" ht="28.5" customHeight="1">
      <c r="A152" s="81" t="s">
        <v>486</v>
      </c>
      <c r="B152" s="78"/>
      <c r="C152" s="64">
        <v>1.4</v>
      </c>
      <c r="D152" s="79"/>
      <c r="E152" s="79"/>
      <c r="F152" s="80">
        <f t="shared" si="4"/>
        <v>0</v>
      </c>
      <c r="G152" s="177" t="e">
        <f t="shared" si="5"/>
        <v>#DIV/0!</v>
      </c>
    </row>
    <row r="153" spans="1:7" s="76" customFormat="1" ht="26.25" customHeight="1">
      <c r="A153" s="81" t="s">
        <v>487</v>
      </c>
      <c r="B153" s="78"/>
      <c r="C153" s="64">
        <v>2.1</v>
      </c>
      <c r="D153" s="79"/>
      <c r="E153" s="79"/>
      <c r="F153" s="80">
        <f t="shared" si="4"/>
        <v>0</v>
      </c>
      <c r="G153" s="177" t="e">
        <f t="shared" si="5"/>
        <v>#DIV/0!</v>
      </c>
    </row>
    <row r="154" spans="1:7" s="76" customFormat="1" ht="28.5" customHeight="1">
      <c r="A154" s="81" t="s">
        <v>488</v>
      </c>
      <c r="B154" s="78"/>
      <c r="C154" s="64">
        <v>4.5</v>
      </c>
      <c r="D154" s="79"/>
      <c r="E154" s="79"/>
      <c r="F154" s="80">
        <f t="shared" si="4"/>
        <v>0</v>
      </c>
      <c r="G154" s="177" t="e">
        <f t="shared" si="5"/>
        <v>#DIV/0!</v>
      </c>
    </row>
    <row r="155" spans="1:7" s="76" customFormat="1" ht="24.75" customHeight="1">
      <c r="A155" s="48" t="s">
        <v>571</v>
      </c>
      <c r="B155" s="78"/>
      <c r="C155" s="64"/>
      <c r="D155" s="79"/>
      <c r="E155" s="64">
        <v>22</v>
      </c>
      <c r="F155" s="61">
        <f t="shared" si="4"/>
        <v>22</v>
      </c>
      <c r="G155" s="177" t="e">
        <f t="shared" si="5"/>
        <v>#DIV/0!</v>
      </c>
    </row>
    <row r="156" spans="1:7" s="76" customFormat="1" ht="27" customHeight="1">
      <c r="A156" s="48" t="s">
        <v>321</v>
      </c>
      <c r="B156" s="78"/>
      <c r="C156" s="64"/>
      <c r="D156" s="79"/>
      <c r="E156" s="64">
        <v>14.6</v>
      </c>
      <c r="F156" s="61">
        <f t="shared" si="4"/>
        <v>14.6</v>
      </c>
      <c r="G156" s="177" t="e">
        <f t="shared" si="5"/>
        <v>#DIV/0!</v>
      </c>
    </row>
    <row r="157" spans="1:7" s="76" customFormat="1" ht="27" customHeight="1">
      <c r="A157" s="48" t="s">
        <v>324</v>
      </c>
      <c r="B157" s="78"/>
      <c r="C157" s="64"/>
      <c r="D157" s="79"/>
      <c r="E157" s="64">
        <v>34</v>
      </c>
      <c r="F157" s="61">
        <f t="shared" si="4"/>
        <v>34</v>
      </c>
      <c r="G157" s="177" t="e">
        <f t="shared" si="5"/>
        <v>#DIV/0!</v>
      </c>
    </row>
    <row r="158" spans="1:7" s="76" customFormat="1" ht="38.25" customHeight="1">
      <c r="A158" s="45" t="s">
        <v>323</v>
      </c>
      <c r="B158" s="78"/>
      <c r="C158" s="64"/>
      <c r="D158" s="79"/>
      <c r="E158" s="64">
        <v>2.8</v>
      </c>
      <c r="F158" s="61">
        <f t="shared" si="4"/>
        <v>2.8</v>
      </c>
      <c r="G158" s="177" t="e">
        <f t="shared" si="5"/>
        <v>#DIV/0!</v>
      </c>
    </row>
    <row r="159" spans="1:7" s="76" customFormat="1" ht="27" customHeight="1">
      <c r="A159" s="45" t="s">
        <v>328</v>
      </c>
      <c r="B159" s="78"/>
      <c r="C159" s="64"/>
      <c r="D159" s="79"/>
      <c r="E159" s="64">
        <v>2.7</v>
      </c>
      <c r="F159" s="61">
        <f t="shared" si="4"/>
        <v>2.7</v>
      </c>
      <c r="G159" s="177" t="e">
        <f t="shared" si="5"/>
        <v>#DIV/0!</v>
      </c>
    </row>
    <row r="160" spans="1:7" s="76" customFormat="1" ht="38.25" customHeight="1">
      <c r="A160" s="45" t="s">
        <v>572</v>
      </c>
      <c r="B160" s="78"/>
      <c r="C160" s="64"/>
      <c r="D160" s="79"/>
      <c r="E160" s="64">
        <v>14.2</v>
      </c>
      <c r="F160" s="61">
        <f t="shared" si="4"/>
        <v>14.2</v>
      </c>
      <c r="G160" s="177" t="e">
        <f t="shared" si="5"/>
        <v>#DIV/0!</v>
      </c>
    </row>
    <row r="161" spans="1:7" s="76" customFormat="1" ht="26.25" customHeight="1">
      <c r="A161" s="45" t="s">
        <v>573</v>
      </c>
      <c r="B161" s="78"/>
      <c r="C161" s="64"/>
      <c r="D161" s="79"/>
      <c r="E161" s="64">
        <v>19.600000000000001</v>
      </c>
      <c r="F161" s="61">
        <f t="shared" si="4"/>
        <v>19.600000000000001</v>
      </c>
      <c r="G161" s="177" t="e">
        <f t="shared" si="5"/>
        <v>#DIV/0!</v>
      </c>
    </row>
    <row r="162" spans="1:7" s="76" customFormat="1" ht="28.5" customHeight="1">
      <c r="A162" s="45" t="s">
        <v>574</v>
      </c>
      <c r="B162" s="78"/>
      <c r="C162" s="64"/>
      <c r="D162" s="79"/>
      <c r="E162" s="64">
        <v>19.899999999999999</v>
      </c>
      <c r="F162" s="61">
        <f t="shared" si="4"/>
        <v>19.899999999999999</v>
      </c>
      <c r="G162" s="177" t="e">
        <f t="shared" si="5"/>
        <v>#DIV/0!</v>
      </c>
    </row>
    <row r="163" spans="1:7" ht="27" customHeight="1">
      <c r="A163" s="45" t="s">
        <v>575</v>
      </c>
      <c r="B163" s="55"/>
      <c r="C163" s="64"/>
      <c r="D163" s="64"/>
      <c r="E163" s="64">
        <v>0.3</v>
      </c>
      <c r="F163" s="61">
        <f t="shared" si="4"/>
        <v>0.3</v>
      </c>
      <c r="G163" s="176" t="e">
        <f t="shared" si="5"/>
        <v>#DIV/0!</v>
      </c>
    </row>
    <row r="164" spans="1:7" ht="27" customHeight="1">
      <c r="A164" s="45" t="s">
        <v>366</v>
      </c>
      <c r="B164" s="55"/>
      <c r="C164" s="64"/>
      <c r="D164" s="64"/>
      <c r="E164" s="64">
        <v>0.1</v>
      </c>
      <c r="F164" s="61">
        <f t="shared" si="4"/>
        <v>0.1</v>
      </c>
      <c r="G164" s="176" t="e">
        <f t="shared" si="5"/>
        <v>#DIV/0!</v>
      </c>
    </row>
    <row r="165" spans="1:7" ht="42" customHeight="1">
      <c r="A165" s="45" t="s">
        <v>367</v>
      </c>
      <c r="B165" s="55"/>
      <c r="C165" s="64"/>
      <c r="D165" s="64"/>
      <c r="E165" s="64">
        <v>2</v>
      </c>
      <c r="F165" s="61">
        <f t="shared" si="4"/>
        <v>2</v>
      </c>
      <c r="G165" s="176" t="e">
        <f t="shared" si="5"/>
        <v>#DIV/0!</v>
      </c>
    </row>
    <row r="166" spans="1:7" ht="39.75" customHeight="1">
      <c r="A166" s="45" t="s">
        <v>368</v>
      </c>
      <c r="B166" s="55"/>
      <c r="C166" s="64"/>
      <c r="D166" s="64"/>
      <c r="E166" s="64">
        <v>2</v>
      </c>
      <c r="F166" s="61">
        <f t="shared" si="4"/>
        <v>2</v>
      </c>
      <c r="G166" s="176" t="e">
        <f t="shared" si="5"/>
        <v>#DIV/0!</v>
      </c>
    </row>
    <row r="167" spans="1:7" ht="29.25" customHeight="1">
      <c r="A167" s="45" t="s">
        <v>369</v>
      </c>
      <c r="B167" s="55"/>
      <c r="C167" s="64"/>
      <c r="D167" s="64"/>
      <c r="E167" s="64">
        <v>0.5</v>
      </c>
      <c r="F167" s="61">
        <f t="shared" si="4"/>
        <v>0.5</v>
      </c>
      <c r="G167" s="176" t="e">
        <f t="shared" si="5"/>
        <v>#DIV/0!</v>
      </c>
    </row>
    <row r="168" spans="1:7" ht="26.25" customHeight="1">
      <c r="A168" s="45" t="s">
        <v>576</v>
      </c>
      <c r="B168" s="55"/>
      <c r="C168" s="64"/>
      <c r="D168" s="64"/>
      <c r="E168" s="64">
        <v>0.8</v>
      </c>
      <c r="F168" s="61">
        <f t="shared" si="4"/>
        <v>0.8</v>
      </c>
      <c r="G168" s="176" t="e">
        <f t="shared" si="5"/>
        <v>#DIV/0!</v>
      </c>
    </row>
    <row r="169" spans="1:7" ht="27.75" customHeight="1">
      <c r="A169" s="45" t="s">
        <v>371</v>
      </c>
      <c r="B169" s="55"/>
      <c r="C169" s="64"/>
      <c r="D169" s="64"/>
      <c r="E169" s="64">
        <v>1.9</v>
      </c>
      <c r="F169" s="61">
        <f t="shared" si="4"/>
        <v>1.9</v>
      </c>
      <c r="G169" s="176" t="e">
        <f t="shared" si="5"/>
        <v>#DIV/0!</v>
      </c>
    </row>
    <row r="170" spans="1:7" ht="29.25" customHeight="1">
      <c r="A170" s="45" t="s">
        <v>372</v>
      </c>
      <c r="B170" s="55"/>
      <c r="C170" s="64"/>
      <c r="D170" s="64"/>
      <c r="E170" s="64">
        <v>4.5</v>
      </c>
      <c r="F170" s="61">
        <f t="shared" si="4"/>
        <v>4.5</v>
      </c>
      <c r="G170" s="176" t="e">
        <f t="shared" si="5"/>
        <v>#DIV/0!</v>
      </c>
    </row>
    <row r="171" spans="1:7" ht="30" customHeight="1">
      <c r="A171" s="45" t="s">
        <v>373</v>
      </c>
      <c r="B171" s="55"/>
      <c r="C171" s="64"/>
      <c r="D171" s="64"/>
      <c r="E171" s="64">
        <v>2.5</v>
      </c>
      <c r="F171" s="61">
        <f t="shared" si="4"/>
        <v>2.5</v>
      </c>
      <c r="G171" s="176" t="e">
        <f t="shared" si="5"/>
        <v>#DIV/0!</v>
      </c>
    </row>
    <row r="172" spans="1:7" ht="25.5" customHeight="1">
      <c r="A172" s="45" t="s">
        <v>374</v>
      </c>
      <c r="B172" s="55"/>
      <c r="C172" s="64"/>
      <c r="D172" s="64"/>
      <c r="E172" s="64">
        <v>2.1</v>
      </c>
      <c r="F172" s="61">
        <f t="shared" si="4"/>
        <v>2.1</v>
      </c>
      <c r="G172" s="176" t="e">
        <f t="shared" si="5"/>
        <v>#DIV/0!</v>
      </c>
    </row>
    <row r="173" spans="1:7" ht="24.75" customHeight="1">
      <c r="A173" s="45" t="s">
        <v>375</v>
      </c>
      <c r="B173" s="55"/>
      <c r="C173" s="64"/>
      <c r="D173" s="64"/>
      <c r="E173" s="64">
        <v>12</v>
      </c>
      <c r="F173" s="61">
        <f t="shared" si="4"/>
        <v>12</v>
      </c>
      <c r="G173" s="176" t="e">
        <f t="shared" si="5"/>
        <v>#DIV/0!</v>
      </c>
    </row>
    <row r="174" spans="1:7" ht="23.25" customHeight="1">
      <c r="A174" s="45" t="s">
        <v>584</v>
      </c>
      <c r="B174" s="55"/>
      <c r="C174" s="64"/>
      <c r="D174" s="64"/>
      <c r="E174" s="64">
        <v>11.8</v>
      </c>
      <c r="F174" s="61">
        <f t="shared" si="4"/>
        <v>11.8</v>
      </c>
      <c r="G174" s="176" t="e">
        <f t="shared" si="5"/>
        <v>#DIV/0!</v>
      </c>
    </row>
    <row r="175" spans="1:7" ht="26.25" customHeight="1">
      <c r="A175" s="45" t="s">
        <v>376</v>
      </c>
      <c r="B175" s="55"/>
      <c r="C175" s="64"/>
      <c r="D175" s="64"/>
      <c r="E175" s="64">
        <v>12.4</v>
      </c>
      <c r="F175" s="61">
        <f t="shared" si="4"/>
        <v>12.4</v>
      </c>
      <c r="G175" s="176" t="e">
        <f t="shared" si="5"/>
        <v>#DIV/0!</v>
      </c>
    </row>
    <row r="176" spans="1:7" ht="39.75" customHeight="1">
      <c r="A176" s="45" t="s">
        <v>377</v>
      </c>
      <c r="B176" s="55"/>
      <c r="C176" s="64"/>
      <c r="D176" s="64"/>
      <c r="E176" s="64">
        <v>14.3</v>
      </c>
      <c r="F176" s="61">
        <f t="shared" si="4"/>
        <v>14.3</v>
      </c>
      <c r="G176" s="176" t="e">
        <f t="shared" si="5"/>
        <v>#DIV/0!</v>
      </c>
    </row>
    <row r="177" spans="1:7" ht="39.75" customHeight="1">
      <c r="A177" s="45" t="s">
        <v>378</v>
      </c>
      <c r="B177" s="55"/>
      <c r="C177" s="64"/>
      <c r="D177" s="64"/>
      <c r="E177" s="64">
        <v>19.7</v>
      </c>
      <c r="F177" s="61">
        <f t="shared" si="4"/>
        <v>19.7</v>
      </c>
      <c r="G177" s="176" t="e">
        <f t="shared" si="5"/>
        <v>#DIV/0!</v>
      </c>
    </row>
    <row r="178" spans="1:7" ht="28.5" customHeight="1">
      <c r="A178" s="45" t="s">
        <v>379</v>
      </c>
      <c r="B178" s="55"/>
      <c r="C178" s="64"/>
      <c r="D178" s="64"/>
      <c r="E178" s="64">
        <v>2.7</v>
      </c>
      <c r="F178" s="61">
        <f t="shared" si="4"/>
        <v>2.7</v>
      </c>
      <c r="G178" s="176" t="e">
        <f t="shared" si="5"/>
        <v>#DIV/0!</v>
      </c>
    </row>
    <row r="179" spans="1:7" ht="24.75" customHeight="1">
      <c r="A179" s="45" t="s">
        <v>380</v>
      </c>
      <c r="B179" s="55"/>
      <c r="C179" s="64"/>
      <c r="D179" s="64"/>
      <c r="E179" s="64">
        <v>2.1</v>
      </c>
      <c r="F179" s="61">
        <f t="shared" si="4"/>
        <v>2.1</v>
      </c>
      <c r="G179" s="176" t="e">
        <f t="shared" si="5"/>
        <v>#DIV/0!</v>
      </c>
    </row>
    <row r="180" spans="1:7" ht="24.75" customHeight="1">
      <c r="A180" s="45" t="s">
        <v>583</v>
      </c>
      <c r="B180" s="55"/>
      <c r="C180" s="64"/>
      <c r="D180" s="64"/>
      <c r="E180" s="64">
        <v>6.4</v>
      </c>
      <c r="F180" s="61">
        <f t="shared" si="4"/>
        <v>6.4</v>
      </c>
      <c r="G180" s="176" t="e">
        <f t="shared" si="5"/>
        <v>#DIV/0!</v>
      </c>
    </row>
    <row r="181" spans="1:7" ht="27.75" customHeight="1">
      <c r="A181" s="45" t="s">
        <v>382</v>
      </c>
      <c r="B181" s="55"/>
      <c r="C181" s="64"/>
      <c r="D181" s="64"/>
      <c r="E181" s="64">
        <v>1.5</v>
      </c>
      <c r="F181" s="61">
        <f t="shared" si="4"/>
        <v>1.5</v>
      </c>
      <c r="G181" s="176" t="e">
        <f t="shared" si="5"/>
        <v>#DIV/0!</v>
      </c>
    </row>
    <row r="182" spans="1:7" ht="25.5" customHeight="1">
      <c r="A182" s="45" t="s">
        <v>582</v>
      </c>
      <c r="B182" s="55"/>
      <c r="C182" s="64"/>
      <c r="D182" s="64"/>
      <c r="E182" s="64">
        <v>8</v>
      </c>
      <c r="F182" s="61">
        <f t="shared" si="4"/>
        <v>8</v>
      </c>
      <c r="G182" s="176" t="e">
        <f t="shared" si="5"/>
        <v>#DIV/0!</v>
      </c>
    </row>
    <row r="183" spans="1:7" ht="26.25" customHeight="1">
      <c r="A183" s="45" t="s">
        <v>384</v>
      </c>
      <c r="B183" s="55"/>
      <c r="C183" s="64"/>
      <c r="D183" s="64"/>
      <c r="E183" s="64">
        <v>13</v>
      </c>
      <c r="F183" s="61">
        <f t="shared" si="4"/>
        <v>13</v>
      </c>
      <c r="G183" s="176" t="e">
        <f t="shared" si="5"/>
        <v>#DIV/0!</v>
      </c>
    </row>
    <row r="184" spans="1:7" ht="26.25" customHeight="1">
      <c r="A184" s="45" t="s">
        <v>565</v>
      </c>
      <c r="B184" s="55"/>
      <c r="C184" s="64"/>
      <c r="D184" s="64"/>
      <c r="E184" s="64">
        <v>4.5999999999999996</v>
      </c>
      <c r="F184" s="61">
        <f t="shared" si="4"/>
        <v>4.5999999999999996</v>
      </c>
      <c r="G184" s="176" t="e">
        <f t="shared" si="5"/>
        <v>#DIV/0!</v>
      </c>
    </row>
    <row r="185" spans="1:7" ht="27.75" customHeight="1">
      <c r="A185" s="45" t="s">
        <v>581</v>
      </c>
      <c r="B185" s="55"/>
      <c r="C185" s="64"/>
      <c r="D185" s="64"/>
      <c r="E185" s="64">
        <v>98.7</v>
      </c>
      <c r="F185" s="61">
        <f t="shared" si="4"/>
        <v>98.7</v>
      </c>
      <c r="G185" s="176" t="e">
        <f t="shared" si="5"/>
        <v>#DIV/0!</v>
      </c>
    </row>
    <row r="186" spans="1:7" ht="39.75" customHeight="1">
      <c r="A186" s="45" t="s">
        <v>580</v>
      </c>
      <c r="B186" s="55"/>
      <c r="C186" s="64"/>
      <c r="D186" s="64"/>
      <c r="E186" s="64">
        <v>5</v>
      </c>
      <c r="F186" s="61">
        <f t="shared" si="4"/>
        <v>5</v>
      </c>
      <c r="G186" s="176" t="e">
        <f t="shared" si="5"/>
        <v>#DIV/0!</v>
      </c>
    </row>
    <row r="187" spans="1:7" ht="27" customHeight="1">
      <c r="A187" s="45" t="s">
        <v>579</v>
      </c>
      <c r="B187" s="55"/>
      <c r="C187" s="64"/>
      <c r="D187" s="64"/>
      <c r="E187" s="64">
        <v>5</v>
      </c>
      <c r="F187" s="61">
        <f t="shared" si="4"/>
        <v>5</v>
      </c>
      <c r="G187" s="176" t="e">
        <f t="shared" si="5"/>
        <v>#DIV/0!</v>
      </c>
    </row>
    <row r="188" spans="1:7" ht="29.25" customHeight="1">
      <c r="A188" s="45" t="s">
        <v>387</v>
      </c>
      <c r="B188" s="55"/>
      <c r="C188" s="64"/>
      <c r="D188" s="64"/>
      <c r="E188" s="64">
        <v>0.3</v>
      </c>
      <c r="F188" s="61">
        <f t="shared" si="4"/>
        <v>0.3</v>
      </c>
      <c r="G188" s="176" t="e">
        <f t="shared" si="5"/>
        <v>#DIV/0!</v>
      </c>
    </row>
    <row r="189" spans="1:7" ht="25.5" customHeight="1">
      <c r="A189" s="45" t="s">
        <v>388</v>
      </c>
      <c r="B189" s="55"/>
      <c r="C189" s="64"/>
      <c r="D189" s="64"/>
      <c r="E189" s="64">
        <v>2.8</v>
      </c>
      <c r="F189" s="61">
        <f t="shared" si="4"/>
        <v>2.8</v>
      </c>
      <c r="G189" s="176" t="e">
        <f t="shared" si="5"/>
        <v>#DIV/0!</v>
      </c>
    </row>
    <row r="190" spans="1:7" ht="24.75" customHeight="1">
      <c r="A190" s="45" t="s">
        <v>389</v>
      </c>
      <c r="B190" s="55"/>
      <c r="C190" s="64"/>
      <c r="D190" s="64"/>
      <c r="E190" s="64">
        <v>3</v>
      </c>
      <c r="F190" s="61">
        <f t="shared" si="4"/>
        <v>3</v>
      </c>
      <c r="G190" s="176" t="e">
        <f t="shared" si="5"/>
        <v>#DIV/0!</v>
      </c>
    </row>
    <row r="191" spans="1:7" ht="25.5" customHeight="1">
      <c r="A191" s="45" t="s">
        <v>390</v>
      </c>
      <c r="B191" s="55"/>
      <c r="C191" s="64"/>
      <c r="D191" s="64"/>
      <c r="E191" s="64">
        <v>0.5</v>
      </c>
      <c r="F191" s="61">
        <f t="shared" si="4"/>
        <v>0.5</v>
      </c>
      <c r="G191" s="176" t="e">
        <f t="shared" si="5"/>
        <v>#DIV/0!</v>
      </c>
    </row>
    <row r="192" spans="1:7" ht="26.25" customHeight="1">
      <c r="A192" s="45" t="s">
        <v>578</v>
      </c>
      <c r="B192" s="55"/>
      <c r="C192" s="64"/>
      <c r="D192" s="64"/>
      <c r="E192" s="64">
        <v>45</v>
      </c>
      <c r="F192" s="61">
        <f t="shared" si="4"/>
        <v>45</v>
      </c>
      <c r="G192" s="176" t="e">
        <f t="shared" si="5"/>
        <v>#DIV/0!</v>
      </c>
    </row>
    <row r="193" spans="1:7" ht="25.5" customHeight="1">
      <c r="A193" s="45" t="s">
        <v>577</v>
      </c>
      <c r="B193" s="55"/>
      <c r="C193" s="64"/>
      <c r="D193" s="64"/>
      <c r="E193" s="64">
        <v>108</v>
      </c>
      <c r="F193" s="61">
        <f t="shared" si="4"/>
        <v>108</v>
      </c>
      <c r="G193" s="176" t="e">
        <f t="shared" si="5"/>
        <v>#DIV/0!</v>
      </c>
    </row>
    <row r="194" spans="1:7" ht="39.75" customHeight="1">
      <c r="A194" s="45" t="s">
        <v>585</v>
      </c>
      <c r="B194" s="55"/>
      <c r="C194" s="64"/>
      <c r="D194" s="64"/>
      <c r="E194" s="64">
        <v>39</v>
      </c>
      <c r="F194" s="61">
        <f t="shared" si="4"/>
        <v>39</v>
      </c>
      <c r="G194" s="176" t="e">
        <f t="shared" si="5"/>
        <v>#DIV/0!</v>
      </c>
    </row>
    <row r="195" spans="1:7" ht="22.5" customHeight="1">
      <c r="A195" s="45" t="s">
        <v>586</v>
      </c>
      <c r="B195" s="55"/>
      <c r="C195" s="64"/>
      <c r="D195" s="64"/>
      <c r="E195" s="64">
        <v>3</v>
      </c>
      <c r="F195" s="61">
        <f t="shared" si="4"/>
        <v>3</v>
      </c>
      <c r="G195" s="176" t="e">
        <f t="shared" si="5"/>
        <v>#DIV/0!</v>
      </c>
    </row>
    <row r="196" spans="1:7" ht="24" customHeight="1">
      <c r="A196" s="45" t="s">
        <v>395</v>
      </c>
      <c r="B196" s="55"/>
      <c r="C196" s="64"/>
      <c r="D196" s="64"/>
      <c r="E196" s="64">
        <v>4</v>
      </c>
      <c r="F196" s="61">
        <f t="shared" si="4"/>
        <v>4</v>
      </c>
      <c r="G196" s="176" t="e">
        <f t="shared" si="5"/>
        <v>#DIV/0!</v>
      </c>
    </row>
    <row r="197" spans="1:7" ht="22.5" customHeight="1">
      <c r="A197" s="45" t="s">
        <v>396</v>
      </c>
      <c r="B197" s="55"/>
      <c r="C197" s="64"/>
      <c r="D197" s="64"/>
      <c r="E197" s="64">
        <v>0.8</v>
      </c>
      <c r="F197" s="61">
        <f t="shared" ref="F197:F226" si="6">E197-D197</f>
        <v>0.8</v>
      </c>
      <c r="G197" s="176" t="e">
        <f t="shared" ref="G197:G226" si="7">(E197/D197)*100</f>
        <v>#DIV/0!</v>
      </c>
    </row>
    <row r="198" spans="1:7" ht="24" customHeight="1">
      <c r="A198" s="45" t="s">
        <v>376</v>
      </c>
      <c r="B198" s="55"/>
      <c r="C198" s="64"/>
      <c r="D198" s="64"/>
      <c r="E198" s="64">
        <v>11.8</v>
      </c>
      <c r="F198" s="61">
        <f t="shared" si="6"/>
        <v>11.8</v>
      </c>
      <c r="G198" s="176" t="e">
        <f t="shared" si="7"/>
        <v>#DIV/0!</v>
      </c>
    </row>
    <row r="199" spans="1:7" ht="24.75" customHeight="1">
      <c r="A199" s="45" t="s">
        <v>587</v>
      </c>
      <c r="B199" s="55"/>
      <c r="C199" s="64"/>
      <c r="D199" s="64"/>
      <c r="E199" s="64">
        <v>7.4</v>
      </c>
      <c r="F199" s="61">
        <f t="shared" si="6"/>
        <v>7.4</v>
      </c>
      <c r="G199" s="176" t="e">
        <f t="shared" si="7"/>
        <v>#DIV/0!</v>
      </c>
    </row>
    <row r="200" spans="1:7" ht="27.75" customHeight="1">
      <c r="A200" s="45" t="s">
        <v>412</v>
      </c>
      <c r="B200" s="55"/>
      <c r="C200" s="64"/>
      <c r="D200" s="64"/>
      <c r="E200" s="64">
        <v>4</v>
      </c>
      <c r="F200" s="61">
        <f t="shared" si="6"/>
        <v>4</v>
      </c>
      <c r="G200" s="176" t="e">
        <f t="shared" si="7"/>
        <v>#DIV/0!</v>
      </c>
    </row>
    <row r="201" spans="1:7" ht="24.75" customHeight="1">
      <c r="A201" s="45" t="s">
        <v>411</v>
      </c>
      <c r="B201" s="55"/>
      <c r="C201" s="64"/>
      <c r="D201" s="64"/>
      <c r="E201" s="64">
        <v>6</v>
      </c>
      <c r="F201" s="61">
        <f t="shared" si="6"/>
        <v>6</v>
      </c>
      <c r="G201" s="176" t="e">
        <f t="shared" si="7"/>
        <v>#DIV/0!</v>
      </c>
    </row>
    <row r="202" spans="1:7" ht="25.5" customHeight="1">
      <c r="A202" s="45" t="s">
        <v>588</v>
      </c>
      <c r="B202" s="55"/>
      <c r="C202" s="64"/>
      <c r="D202" s="64"/>
      <c r="E202" s="64">
        <v>1.2</v>
      </c>
      <c r="F202" s="61">
        <f t="shared" si="6"/>
        <v>1.2</v>
      </c>
      <c r="G202" s="176" t="e">
        <f t="shared" si="7"/>
        <v>#DIV/0!</v>
      </c>
    </row>
    <row r="203" spans="1:7" ht="26.25" customHeight="1">
      <c r="A203" s="45" t="s">
        <v>589</v>
      </c>
      <c r="B203" s="55"/>
      <c r="C203" s="64"/>
      <c r="D203" s="64"/>
      <c r="E203" s="64">
        <v>3.2</v>
      </c>
      <c r="F203" s="61">
        <f t="shared" si="6"/>
        <v>3.2</v>
      </c>
      <c r="G203" s="176" t="e">
        <f t="shared" si="7"/>
        <v>#DIV/0!</v>
      </c>
    </row>
    <row r="204" spans="1:7" ht="29.25" customHeight="1">
      <c r="A204" s="45" t="s">
        <v>590</v>
      </c>
      <c r="B204" s="55"/>
      <c r="C204" s="64"/>
      <c r="D204" s="64"/>
      <c r="E204" s="64">
        <v>2.8</v>
      </c>
      <c r="F204" s="61">
        <f t="shared" si="6"/>
        <v>2.8</v>
      </c>
      <c r="G204" s="176" t="e">
        <f t="shared" si="7"/>
        <v>#DIV/0!</v>
      </c>
    </row>
    <row r="205" spans="1:7" ht="52.5" customHeight="1">
      <c r="A205" s="45" t="s">
        <v>591</v>
      </c>
      <c r="B205" s="55"/>
      <c r="C205" s="64"/>
      <c r="D205" s="64"/>
      <c r="E205" s="64">
        <v>0.7</v>
      </c>
      <c r="F205" s="61">
        <f t="shared" si="6"/>
        <v>0.7</v>
      </c>
      <c r="G205" s="176" t="e">
        <f t="shared" si="7"/>
        <v>#DIV/0!</v>
      </c>
    </row>
    <row r="206" spans="1:7" ht="26.25" customHeight="1">
      <c r="A206" s="45" t="s">
        <v>566</v>
      </c>
      <c r="B206" s="55"/>
      <c r="C206" s="64"/>
      <c r="D206" s="64"/>
      <c r="E206" s="64">
        <v>0.7</v>
      </c>
      <c r="F206" s="61">
        <f t="shared" si="6"/>
        <v>0.7</v>
      </c>
      <c r="G206" s="176" t="e">
        <f t="shared" si="7"/>
        <v>#DIV/0!</v>
      </c>
    </row>
    <row r="207" spans="1:7" ht="27.75" customHeight="1">
      <c r="A207" s="45" t="s">
        <v>567</v>
      </c>
      <c r="B207" s="55"/>
      <c r="C207" s="64"/>
      <c r="D207" s="64"/>
      <c r="E207" s="64">
        <v>2.2999999999999998</v>
      </c>
      <c r="F207" s="61">
        <f t="shared" si="6"/>
        <v>2.2999999999999998</v>
      </c>
      <c r="G207" s="176" t="e">
        <f t="shared" si="7"/>
        <v>#DIV/0!</v>
      </c>
    </row>
    <row r="208" spans="1:7" ht="22.5" customHeight="1">
      <c r="A208" s="45" t="s">
        <v>592</v>
      </c>
      <c r="B208" s="55"/>
      <c r="C208" s="64"/>
      <c r="D208" s="64"/>
      <c r="E208" s="64">
        <v>0.4</v>
      </c>
      <c r="F208" s="61">
        <f t="shared" si="6"/>
        <v>0.4</v>
      </c>
      <c r="G208" s="176" t="e">
        <f t="shared" si="7"/>
        <v>#DIV/0!</v>
      </c>
    </row>
    <row r="209" spans="1:7" ht="24" customHeight="1">
      <c r="A209" s="45" t="s">
        <v>568</v>
      </c>
      <c r="B209" s="55"/>
      <c r="C209" s="64"/>
      <c r="D209" s="64"/>
      <c r="E209" s="64">
        <v>2.2999999999999998</v>
      </c>
      <c r="F209" s="61">
        <f t="shared" si="6"/>
        <v>2.2999999999999998</v>
      </c>
      <c r="G209" s="176" t="e">
        <f t="shared" si="7"/>
        <v>#DIV/0!</v>
      </c>
    </row>
    <row r="210" spans="1:7" ht="26.25" customHeight="1">
      <c r="A210" s="45" t="s">
        <v>521</v>
      </c>
      <c r="B210" s="55"/>
      <c r="C210" s="64"/>
      <c r="D210" s="64"/>
      <c r="E210" s="64">
        <v>2.6</v>
      </c>
      <c r="F210" s="61">
        <f t="shared" si="6"/>
        <v>2.6</v>
      </c>
      <c r="G210" s="176" t="e">
        <f t="shared" si="7"/>
        <v>#DIV/0!</v>
      </c>
    </row>
    <row r="211" spans="1:7" ht="33" customHeight="1">
      <c r="A211" s="45" t="s">
        <v>522</v>
      </c>
      <c r="B211" s="55"/>
      <c r="C211" s="64"/>
      <c r="D211" s="64"/>
      <c r="E211" s="64">
        <v>3.4</v>
      </c>
      <c r="F211" s="61">
        <f t="shared" si="6"/>
        <v>3.4</v>
      </c>
      <c r="G211" s="176" t="e">
        <f t="shared" si="7"/>
        <v>#DIV/0!</v>
      </c>
    </row>
    <row r="212" spans="1:7" ht="27.75" customHeight="1">
      <c r="A212" s="45" t="s">
        <v>523</v>
      </c>
      <c r="B212" s="55"/>
      <c r="C212" s="64"/>
      <c r="D212" s="64"/>
      <c r="E212" s="64">
        <v>2.2000000000000002</v>
      </c>
      <c r="F212" s="61">
        <f t="shared" si="6"/>
        <v>2.2000000000000002</v>
      </c>
      <c r="G212" s="176" t="e">
        <f t="shared" si="7"/>
        <v>#DIV/0!</v>
      </c>
    </row>
    <row r="213" spans="1:7" ht="24.75" customHeight="1">
      <c r="A213" s="45" t="s">
        <v>524</v>
      </c>
      <c r="B213" s="55"/>
      <c r="C213" s="64"/>
      <c r="D213" s="64"/>
      <c r="E213" s="64">
        <v>8.5</v>
      </c>
      <c r="F213" s="61">
        <f t="shared" si="6"/>
        <v>8.5</v>
      </c>
      <c r="G213" s="176" t="e">
        <f t="shared" si="7"/>
        <v>#DIV/0!</v>
      </c>
    </row>
    <row r="214" spans="1:7" ht="22.5" customHeight="1">
      <c r="A214" s="45" t="s">
        <v>525</v>
      </c>
      <c r="B214" s="55"/>
      <c r="C214" s="64"/>
      <c r="D214" s="64"/>
      <c r="E214" s="64">
        <v>4.5</v>
      </c>
      <c r="F214" s="61">
        <f t="shared" si="6"/>
        <v>4.5</v>
      </c>
      <c r="G214" s="176" t="e">
        <f t="shared" si="7"/>
        <v>#DIV/0!</v>
      </c>
    </row>
    <row r="215" spans="1:7" ht="24" customHeight="1">
      <c r="A215" s="45" t="s">
        <v>526</v>
      </c>
      <c r="B215" s="55"/>
      <c r="C215" s="64"/>
      <c r="D215" s="64"/>
      <c r="E215" s="64">
        <v>4</v>
      </c>
      <c r="F215" s="61">
        <f t="shared" si="6"/>
        <v>4</v>
      </c>
      <c r="G215" s="176" t="e">
        <f t="shared" si="7"/>
        <v>#DIV/0!</v>
      </c>
    </row>
    <row r="216" spans="1:7" ht="24.75" customHeight="1">
      <c r="A216" s="45" t="s">
        <v>531</v>
      </c>
      <c r="B216" s="55"/>
      <c r="C216" s="64"/>
      <c r="D216" s="64"/>
      <c r="E216" s="64">
        <v>20.6</v>
      </c>
      <c r="F216" s="61">
        <f t="shared" si="6"/>
        <v>20.6</v>
      </c>
      <c r="G216" s="176" t="e">
        <f t="shared" si="7"/>
        <v>#DIV/0!</v>
      </c>
    </row>
    <row r="217" spans="1:7" ht="39.75" customHeight="1">
      <c r="A217" s="45" t="s">
        <v>527</v>
      </c>
      <c r="B217" s="55"/>
      <c r="C217" s="64"/>
      <c r="D217" s="64"/>
      <c r="E217" s="64">
        <v>10.9</v>
      </c>
      <c r="F217" s="61">
        <f t="shared" si="6"/>
        <v>10.9</v>
      </c>
      <c r="G217" s="176" t="e">
        <f t="shared" si="7"/>
        <v>#DIV/0!</v>
      </c>
    </row>
    <row r="218" spans="1:7" ht="57.75" customHeight="1">
      <c r="A218" s="45" t="s">
        <v>593</v>
      </c>
      <c r="B218" s="55"/>
      <c r="C218" s="64"/>
      <c r="D218" s="64"/>
      <c r="E218" s="64">
        <v>12.7</v>
      </c>
      <c r="F218" s="61">
        <f t="shared" si="6"/>
        <v>12.7</v>
      </c>
      <c r="G218" s="176" t="e">
        <f t="shared" si="7"/>
        <v>#DIV/0!</v>
      </c>
    </row>
    <row r="219" spans="1:7" ht="24.75" customHeight="1">
      <c r="A219" s="45" t="s">
        <v>528</v>
      </c>
      <c r="B219" s="55"/>
      <c r="C219" s="64"/>
      <c r="D219" s="64"/>
      <c r="E219" s="64">
        <v>8</v>
      </c>
      <c r="F219" s="61">
        <f t="shared" si="6"/>
        <v>8</v>
      </c>
      <c r="G219" s="176" t="e">
        <f t="shared" si="7"/>
        <v>#DIV/0!</v>
      </c>
    </row>
    <row r="220" spans="1:7" ht="54" customHeight="1">
      <c r="A220" s="45" t="s">
        <v>591</v>
      </c>
      <c r="B220" s="55"/>
      <c r="C220" s="64"/>
      <c r="D220" s="64"/>
      <c r="E220" s="64">
        <v>0.7</v>
      </c>
      <c r="F220" s="61">
        <f t="shared" si="6"/>
        <v>0.7</v>
      </c>
      <c r="G220" s="176" t="e">
        <f t="shared" si="7"/>
        <v>#DIV/0!</v>
      </c>
    </row>
    <row r="221" spans="1:7" ht="57.75" customHeight="1">
      <c r="A221" s="45" t="s">
        <v>594</v>
      </c>
      <c r="B221" s="55"/>
      <c r="C221" s="64"/>
      <c r="D221" s="64"/>
      <c r="E221" s="64">
        <v>13.2</v>
      </c>
      <c r="F221" s="61">
        <f t="shared" si="6"/>
        <v>13.2</v>
      </c>
      <c r="G221" s="176" t="e">
        <f t="shared" si="7"/>
        <v>#DIV/0!</v>
      </c>
    </row>
    <row r="222" spans="1:7" ht="56.25" customHeight="1">
      <c r="A222" s="45" t="s">
        <v>532</v>
      </c>
      <c r="B222" s="55"/>
      <c r="C222" s="64"/>
      <c r="D222" s="64"/>
      <c r="E222" s="64">
        <v>31.2</v>
      </c>
      <c r="F222" s="61">
        <f t="shared" si="6"/>
        <v>31.2</v>
      </c>
      <c r="G222" s="176" t="e">
        <f t="shared" si="7"/>
        <v>#DIV/0!</v>
      </c>
    </row>
    <row r="223" spans="1:7" ht="39.75" customHeight="1">
      <c r="A223" s="45" t="s">
        <v>529</v>
      </c>
      <c r="B223" s="55"/>
      <c r="C223" s="64"/>
      <c r="D223" s="64"/>
      <c r="E223" s="64">
        <v>10.7</v>
      </c>
      <c r="F223" s="61">
        <f t="shared" si="6"/>
        <v>10.7</v>
      </c>
      <c r="G223" s="176" t="e">
        <f t="shared" si="7"/>
        <v>#DIV/0!</v>
      </c>
    </row>
    <row r="224" spans="1:7" ht="39.75" customHeight="1">
      <c r="A224" s="45" t="s">
        <v>530</v>
      </c>
      <c r="B224" s="55"/>
      <c r="C224" s="64"/>
      <c r="D224" s="64"/>
      <c r="E224" s="64">
        <v>9.1999999999999993</v>
      </c>
      <c r="F224" s="61">
        <f t="shared" si="6"/>
        <v>9.1999999999999993</v>
      </c>
      <c r="G224" s="176" t="e">
        <f t="shared" si="7"/>
        <v>#DIV/0!</v>
      </c>
    </row>
    <row r="225" spans="1:8" ht="54.75" customHeight="1">
      <c r="A225" s="45" t="s">
        <v>569</v>
      </c>
      <c r="B225" s="55"/>
      <c r="C225" s="64"/>
      <c r="D225" s="64"/>
      <c r="E225" s="64">
        <v>14.1</v>
      </c>
      <c r="F225" s="61">
        <f t="shared" si="6"/>
        <v>14.1</v>
      </c>
      <c r="G225" s="176" t="e">
        <f t="shared" si="7"/>
        <v>#DIV/0!</v>
      </c>
    </row>
    <row r="226" spans="1:8" ht="25.5" customHeight="1">
      <c r="A226" s="45" t="s">
        <v>570</v>
      </c>
      <c r="B226" s="55"/>
      <c r="C226" s="64"/>
      <c r="D226" s="64"/>
      <c r="E226" s="64">
        <v>15.3</v>
      </c>
      <c r="F226" s="61">
        <f t="shared" si="6"/>
        <v>15.3</v>
      </c>
      <c r="G226" s="176" t="e">
        <f t="shared" si="7"/>
        <v>#DIV/0!</v>
      </c>
    </row>
    <row r="227" spans="1:8" ht="27.75" customHeight="1">
      <c r="A227" s="170" t="s">
        <v>39</v>
      </c>
      <c r="B227" s="173">
        <v>4060</v>
      </c>
      <c r="C227" s="80">
        <f>C228+C229</f>
        <v>552.29999999999995</v>
      </c>
      <c r="D227" s="80">
        <f>D228</f>
        <v>2000</v>
      </c>
      <c r="E227" s="80">
        <f>E228</f>
        <v>1004.9</v>
      </c>
      <c r="F227" s="80">
        <f>E227-D227</f>
        <v>-995.1</v>
      </c>
      <c r="G227" s="172">
        <f>(E227/D227)*100</f>
        <v>50.244999999999997</v>
      </c>
    </row>
    <row r="228" spans="1:8" ht="82.5" customHeight="1">
      <c r="A228" s="65" t="s">
        <v>218</v>
      </c>
      <c r="B228" s="55"/>
      <c r="C228" s="64">
        <v>274.2</v>
      </c>
      <c r="D228" s="64">
        <v>2000</v>
      </c>
      <c r="E228" s="64">
        <v>1004.9</v>
      </c>
      <c r="F228" s="64">
        <f>E228-D228</f>
        <v>-995.1</v>
      </c>
      <c r="G228" s="68">
        <f>(E228/D228)*100</f>
        <v>50.244999999999997</v>
      </c>
    </row>
    <row r="229" spans="1:8" ht="81" customHeight="1">
      <c r="A229" s="74" t="s">
        <v>503</v>
      </c>
      <c r="B229" s="55"/>
      <c r="C229" s="64">
        <v>278.10000000000002</v>
      </c>
      <c r="D229" s="64"/>
      <c r="E229" s="64"/>
      <c r="F229" s="64"/>
      <c r="G229" s="176" t="e">
        <f>(E229/D229)*100</f>
        <v>#DIV/0!</v>
      </c>
    </row>
    <row r="230" spans="1:8" ht="27" customHeight="1">
      <c r="A230" s="85"/>
      <c r="B230" s="51"/>
      <c r="C230" s="86"/>
      <c r="D230" s="86"/>
      <c r="E230" s="86"/>
      <c r="F230" s="86"/>
      <c r="G230" s="87"/>
    </row>
    <row r="231" spans="1:8" ht="26.25" customHeight="1">
      <c r="A231" s="175" t="s">
        <v>713</v>
      </c>
      <c r="B231" s="210"/>
      <c r="C231" s="210"/>
      <c r="D231" s="174"/>
      <c r="E231" s="209" t="s">
        <v>201</v>
      </c>
      <c r="F231" s="209"/>
      <c r="G231" s="209"/>
      <c r="H231" s="88"/>
    </row>
    <row r="232" spans="1:8">
      <c r="A232" s="89" t="s">
        <v>59</v>
      </c>
      <c r="B232" s="211" t="s">
        <v>11</v>
      </c>
      <c r="C232" s="211"/>
      <c r="D232" s="49"/>
      <c r="E232" s="85"/>
      <c r="F232" s="49" t="s">
        <v>17</v>
      </c>
    </row>
    <row r="233" spans="1:8">
      <c r="A233" s="90"/>
      <c r="C233" s="91"/>
      <c r="D233" s="92"/>
      <c r="E233" s="92"/>
      <c r="F233" s="92"/>
    </row>
    <row r="234" spans="1:8">
      <c r="A234" s="90"/>
      <c r="C234" s="91"/>
      <c r="D234" s="92"/>
      <c r="E234" s="92"/>
      <c r="F234" s="92"/>
    </row>
    <row r="235" spans="1:8">
      <c r="A235" s="90"/>
      <c r="C235" s="91"/>
      <c r="D235" s="92"/>
      <c r="E235" s="92"/>
      <c r="F235" s="92"/>
    </row>
    <row r="236" spans="1:8">
      <c r="A236" s="90"/>
      <c r="C236" s="91"/>
      <c r="D236" s="92"/>
      <c r="E236" s="92"/>
      <c r="F236" s="92"/>
    </row>
    <row r="237" spans="1:8">
      <c r="A237" s="90"/>
      <c r="C237" s="91"/>
      <c r="D237" s="92"/>
      <c r="E237" s="92"/>
      <c r="F237" s="92"/>
    </row>
    <row r="238" spans="1:8">
      <c r="A238" s="90"/>
      <c r="C238" s="91"/>
      <c r="D238" s="92"/>
      <c r="E238" s="92"/>
      <c r="F238" s="92"/>
    </row>
    <row r="239" spans="1:8">
      <c r="A239" s="90"/>
      <c r="C239" s="91"/>
      <c r="D239" s="92"/>
      <c r="E239" s="92"/>
      <c r="F239" s="92"/>
    </row>
    <row r="240" spans="1:8">
      <c r="A240" s="90"/>
      <c r="C240" s="91"/>
      <c r="D240" s="92"/>
      <c r="E240" s="92"/>
      <c r="F240" s="92"/>
    </row>
    <row r="241" spans="1:6">
      <c r="A241" s="90"/>
      <c r="C241" s="91"/>
      <c r="D241" s="92"/>
      <c r="E241" s="92"/>
      <c r="F241" s="92"/>
    </row>
    <row r="242" spans="1:6">
      <c r="A242" s="90"/>
      <c r="C242" s="91"/>
      <c r="D242" s="92"/>
      <c r="E242" s="92"/>
      <c r="F242" s="92"/>
    </row>
    <row r="243" spans="1:6">
      <c r="A243" s="90"/>
      <c r="C243" s="91"/>
      <c r="D243" s="92"/>
      <c r="E243" s="92"/>
      <c r="F243" s="92"/>
    </row>
    <row r="244" spans="1:6">
      <c r="A244" s="90"/>
      <c r="C244" s="91"/>
      <c r="D244" s="92"/>
      <c r="E244" s="92"/>
      <c r="F244" s="92"/>
    </row>
    <row r="245" spans="1:6">
      <c r="A245" s="90"/>
      <c r="C245" s="91"/>
      <c r="D245" s="92"/>
      <c r="E245" s="92"/>
      <c r="F245" s="92"/>
    </row>
    <row r="246" spans="1:6">
      <c r="A246" s="90"/>
      <c r="C246" s="91"/>
      <c r="D246" s="92"/>
      <c r="E246" s="92"/>
      <c r="F246" s="92"/>
    </row>
    <row r="247" spans="1:6">
      <c r="A247" s="90"/>
      <c r="C247" s="91"/>
      <c r="D247" s="92"/>
      <c r="E247" s="92"/>
      <c r="F247" s="92"/>
    </row>
    <row r="248" spans="1:6">
      <c r="A248" s="90"/>
      <c r="C248" s="91"/>
      <c r="D248" s="92"/>
      <c r="E248" s="92"/>
      <c r="F248" s="92"/>
    </row>
    <row r="249" spans="1:6">
      <c r="A249" s="90"/>
      <c r="C249" s="91"/>
      <c r="D249" s="92"/>
      <c r="E249" s="92"/>
      <c r="F249" s="92"/>
    </row>
    <row r="250" spans="1:6">
      <c r="A250" s="90"/>
      <c r="C250" s="91"/>
      <c r="D250" s="92"/>
      <c r="E250" s="92"/>
      <c r="F250" s="92"/>
    </row>
    <row r="251" spans="1:6">
      <c r="A251" s="90"/>
      <c r="C251" s="91"/>
      <c r="D251" s="92"/>
      <c r="E251" s="92"/>
      <c r="F251" s="92"/>
    </row>
    <row r="252" spans="1:6">
      <c r="A252" s="90"/>
      <c r="C252" s="91"/>
      <c r="D252" s="92"/>
      <c r="E252" s="92"/>
      <c r="F252" s="92"/>
    </row>
    <row r="253" spans="1:6">
      <c r="A253" s="90"/>
      <c r="C253" s="91"/>
      <c r="D253" s="92"/>
      <c r="E253" s="92"/>
      <c r="F253" s="92"/>
    </row>
    <row r="254" spans="1:6">
      <c r="A254" s="90"/>
      <c r="C254" s="91"/>
      <c r="D254" s="92"/>
      <c r="E254" s="92"/>
      <c r="F254" s="92"/>
    </row>
    <row r="255" spans="1:6">
      <c r="A255" s="90"/>
      <c r="C255" s="91"/>
      <c r="D255" s="92"/>
      <c r="E255" s="92"/>
      <c r="F255" s="92"/>
    </row>
    <row r="256" spans="1:6">
      <c r="A256" s="90"/>
      <c r="C256" s="91"/>
      <c r="D256" s="92"/>
      <c r="E256" s="92"/>
      <c r="F256" s="92"/>
    </row>
    <row r="257" spans="1:6">
      <c r="A257" s="90"/>
      <c r="C257" s="91"/>
      <c r="D257" s="92"/>
      <c r="E257" s="92"/>
      <c r="F257" s="92"/>
    </row>
    <row r="258" spans="1:6">
      <c r="A258" s="90"/>
      <c r="C258" s="91"/>
      <c r="D258" s="92"/>
      <c r="E258" s="92"/>
      <c r="F258" s="92"/>
    </row>
    <row r="259" spans="1:6">
      <c r="A259" s="90"/>
      <c r="C259" s="91"/>
      <c r="D259" s="92"/>
      <c r="E259" s="92"/>
      <c r="F259" s="92"/>
    </row>
    <row r="260" spans="1:6">
      <c r="A260" s="90"/>
      <c r="C260" s="91"/>
      <c r="D260" s="92"/>
      <c r="E260" s="92"/>
      <c r="F260" s="92"/>
    </row>
    <row r="261" spans="1:6">
      <c r="A261" s="90"/>
      <c r="C261" s="91"/>
      <c r="D261" s="92"/>
      <c r="E261" s="92"/>
      <c r="F261" s="92"/>
    </row>
    <row r="262" spans="1:6">
      <c r="A262" s="90"/>
      <c r="C262" s="91"/>
      <c r="D262" s="92"/>
      <c r="E262" s="92"/>
      <c r="F262" s="92"/>
    </row>
    <row r="263" spans="1:6">
      <c r="A263" s="90"/>
      <c r="C263" s="91"/>
      <c r="D263" s="92"/>
      <c r="E263" s="92"/>
      <c r="F263" s="92"/>
    </row>
    <row r="264" spans="1:6">
      <c r="A264" s="90"/>
      <c r="C264" s="91"/>
      <c r="D264" s="92"/>
      <c r="E264" s="92"/>
      <c r="F264" s="92"/>
    </row>
    <row r="265" spans="1:6">
      <c r="A265" s="90"/>
      <c r="C265" s="91"/>
      <c r="D265" s="92"/>
      <c r="E265" s="92"/>
      <c r="F265" s="92"/>
    </row>
    <row r="266" spans="1:6">
      <c r="A266" s="90"/>
      <c r="C266" s="91"/>
      <c r="D266" s="92"/>
      <c r="E266" s="92"/>
      <c r="F266" s="92"/>
    </row>
    <row r="267" spans="1:6">
      <c r="A267" s="90"/>
      <c r="C267" s="91"/>
      <c r="D267" s="92"/>
      <c r="E267" s="92"/>
      <c r="F267" s="92"/>
    </row>
    <row r="268" spans="1:6">
      <c r="A268" s="90"/>
      <c r="C268" s="91"/>
      <c r="D268" s="92"/>
      <c r="E268" s="92"/>
      <c r="F268" s="92"/>
    </row>
    <row r="269" spans="1:6">
      <c r="A269" s="90"/>
      <c r="C269" s="91"/>
      <c r="D269" s="92"/>
      <c r="E269" s="92"/>
      <c r="F269" s="92"/>
    </row>
    <row r="270" spans="1:6">
      <c r="A270" s="90"/>
      <c r="C270" s="91"/>
      <c r="D270" s="92"/>
      <c r="E270" s="92"/>
      <c r="F270" s="92"/>
    </row>
    <row r="271" spans="1:6">
      <c r="A271" s="90"/>
      <c r="C271" s="91"/>
      <c r="D271" s="92"/>
      <c r="E271" s="92"/>
      <c r="F271" s="92"/>
    </row>
    <row r="272" spans="1:6">
      <c r="A272" s="90"/>
      <c r="C272" s="91"/>
      <c r="D272" s="92"/>
      <c r="E272" s="92"/>
      <c r="F272" s="92"/>
    </row>
    <row r="273" spans="1:6">
      <c r="A273" s="90"/>
      <c r="C273" s="91"/>
      <c r="D273" s="92"/>
      <c r="E273" s="92"/>
      <c r="F273" s="92"/>
    </row>
    <row r="274" spans="1:6">
      <c r="A274" s="90"/>
      <c r="C274" s="91"/>
      <c r="D274" s="92"/>
      <c r="E274" s="92"/>
      <c r="F274" s="92"/>
    </row>
    <row r="275" spans="1:6">
      <c r="A275" s="90"/>
      <c r="C275" s="91"/>
      <c r="D275" s="92"/>
      <c r="E275" s="92"/>
      <c r="F275" s="92"/>
    </row>
    <row r="276" spans="1:6">
      <c r="A276" s="90"/>
      <c r="C276" s="91"/>
      <c r="D276" s="92"/>
      <c r="E276" s="92"/>
      <c r="F276" s="92"/>
    </row>
    <row r="277" spans="1:6">
      <c r="A277" s="90"/>
      <c r="C277" s="91"/>
      <c r="D277" s="92"/>
      <c r="E277" s="92"/>
      <c r="F277" s="92"/>
    </row>
    <row r="278" spans="1:6">
      <c r="A278" s="90"/>
      <c r="C278" s="91"/>
      <c r="D278" s="92"/>
      <c r="E278" s="92"/>
      <c r="F278" s="92"/>
    </row>
    <row r="279" spans="1:6">
      <c r="A279" s="90"/>
      <c r="C279" s="91"/>
      <c r="D279" s="92"/>
      <c r="E279" s="92"/>
      <c r="F279" s="92"/>
    </row>
    <row r="280" spans="1:6">
      <c r="A280" s="90"/>
      <c r="C280" s="91"/>
      <c r="D280" s="92"/>
      <c r="E280" s="92"/>
      <c r="F280" s="92"/>
    </row>
    <row r="281" spans="1:6">
      <c r="A281" s="90"/>
      <c r="C281" s="91"/>
      <c r="D281" s="92"/>
      <c r="E281" s="92"/>
      <c r="F281" s="92"/>
    </row>
    <row r="282" spans="1:6">
      <c r="A282" s="90"/>
      <c r="C282" s="91"/>
      <c r="D282" s="92"/>
      <c r="E282" s="92"/>
      <c r="F282" s="92"/>
    </row>
    <row r="283" spans="1:6">
      <c r="A283" s="90"/>
      <c r="C283" s="91"/>
      <c r="D283" s="92"/>
      <c r="E283" s="92"/>
      <c r="F283" s="92"/>
    </row>
    <row r="284" spans="1:6">
      <c r="A284" s="90"/>
      <c r="C284" s="91"/>
      <c r="D284" s="92"/>
      <c r="E284" s="92"/>
      <c r="F284" s="92"/>
    </row>
    <row r="285" spans="1:6">
      <c r="A285" s="90"/>
      <c r="C285" s="91"/>
      <c r="D285" s="92"/>
      <c r="E285" s="92"/>
      <c r="F285" s="92"/>
    </row>
    <row r="286" spans="1:6">
      <c r="A286" s="90"/>
      <c r="C286" s="91"/>
      <c r="D286" s="92"/>
      <c r="E286" s="92"/>
      <c r="F286" s="92"/>
    </row>
    <row r="287" spans="1:6">
      <c r="A287" s="90"/>
    </row>
    <row r="288" spans="1:6">
      <c r="A288" s="93"/>
    </row>
    <row r="289" spans="1:1">
      <c r="A289" s="93"/>
    </row>
    <row r="290" spans="1:1">
      <c r="A290" s="93"/>
    </row>
    <row r="291" spans="1:1">
      <c r="A291" s="93"/>
    </row>
    <row r="292" spans="1:1">
      <c r="A292" s="93"/>
    </row>
    <row r="293" spans="1:1">
      <c r="A293" s="93"/>
    </row>
    <row r="294" spans="1:1">
      <c r="A294" s="93"/>
    </row>
    <row r="295" spans="1:1">
      <c r="A295" s="93"/>
    </row>
    <row r="296" spans="1:1">
      <c r="A296" s="93"/>
    </row>
    <row r="297" spans="1:1">
      <c r="A297" s="93"/>
    </row>
    <row r="298" spans="1:1">
      <c r="A298" s="93"/>
    </row>
    <row r="299" spans="1:1">
      <c r="A299" s="93"/>
    </row>
    <row r="300" spans="1:1">
      <c r="A300" s="93"/>
    </row>
    <row r="301" spans="1:1">
      <c r="A301" s="93"/>
    </row>
    <row r="302" spans="1:1">
      <c r="A302" s="93"/>
    </row>
    <row r="303" spans="1:1">
      <c r="A303" s="93"/>
    </row>
    <row r="304" spans="1:1">
      <c r="A304" s="93"/>
    </row>
    <row r="305" spans="1:1">
      <c r="A305" s="93"/>
    </row>
    <row r="306" spans="1:1">
      <c r="A306" s="93"/>
    </row>
    <row r="307" spans="1:1">
      <c r="A307" s="93"/>
    </row>
    <row r="308" spans="1:1">
      <c r="A308" s="93"/>
    </row>
    <row r="309" spans="1:1">
      <c r="A309" s="93"/>
    </row>
    <row r="310" spans="1:1">
      <c r="A310" s="93"/>
    </row>
    <row r="311" spans="1:1">
      <c r="A311" s="93"/>
    </row>
    <row r="312" spans="1:1">
      <c r="A312" s="93"/>
    </row>
    <row r="313" spans="1:1">
      <c r="A313" s="93"/>
    </row>
    <row r="314" spans="1:1">
      <c r="A314" s="93"/>
    </row>
    <row r="315" spans="1:1">
      <c r="A315" s="93"/>
    </row>
    <row r="316" spans="1:1">
      <c r="A316" s="93"/>
    </row>
    <row r="317" spans="1:1">
      <c r="A317" s="93"/>
    </row>
    <row r="318" spans="1:1">
      <c r="A318" s="93"/>
    </row>
    <row r="319" spans="1:1">
      <c r="A319" s="93"/>
    </row>
    <row r="320" spans="1:1">
      <c r="A320" s="93"/>
    </row>
    <row r="321" spans="1:1">
      <c r="A321" s="93"/>
    </row>
    <row r="322" spans="1:1">
      <c r="A322" s="93"/>
    </row>
    <row r="323" spans="1:1">
      <c r="A323" s="93"/>
    </row>
    <row r="324" spans="1:1">
      <c r="A324" s="93"/>
    </row>
    <row r="325" spans="1:1">
      <c r="A325" s="93"/>
    </row>
    <row r="326" spans="1:1">
      <c r="A326" s="93"/>
    </row>
    <row r="327" spans="1:1">
      <c r="A327" s="93"/>
    </row>
    <row r="328" spans="1:1">
      <c r="A328" s="93"/>
    </row>
    <row r="329" spans="1:1">
      <c r="A329" s="93"/>
    </row>
    <row r="330" spans="1:1">
      <c r="A330" s="93"/>
    </row>
    <row r="331" spans="1:1">
      <c r="A331" s="93"/>
    </row>
    <row r="332" spans="1:1">
      <c r="A332" s="93"/>
    </row>
    <row r="333" spans="1:1">
      <c r="A333" s="93"/>
    </row>
    <row r="334" spans="1:1">
      <c r="A334" s="93"/>
    </row>
    <row r="335" spans="1:1">
      <c r="A335" s="93"/>
    </row>
    <row r="336" spans="1:1">
      <c r="A336" s="93"/>
    </row>
    <row r="337" spans="1:1">
      <c r="A337" s="93"/>
    </row>
    <row r="338" spans="1:1">
      <c r="A338" s="93"/>
    </row>
    <row r="339" spans="1:1">
      <c r="A339" s="93"/>
    </row>
    <row r="340" spans="1:1">
      <c r="A340" s="93"/>
    </row>
    <row r="341" spans="1:1">
      <c r="A341" s="93"/>
    </row>
    <row r="342" spans="1:1">
      <c r="A342" s="93"/>
    </row>
    <row r="343" spans="1:1">
      <c r="A343" s="93"/>
    </row>
    <row r="344" spans="1:1">
      <c r="A344" s="93"/>
    </row>
    <row r="345" spans="1:1">
      <c r="A345" s="93"/>
    </row>
    <row r="346" spans="1:1">
      <c r="A346" s="93"/>
    </row>
    <row r="347" spans="1:1">
      <c r="A347" s="93"/>
    </row>
    <row r="348" spans="1:1">
      <c r="A348" s="93"/>
    </row>
    <row r="349" spans="1:1">
      <c r="A349" s="93"/>
    </row>
    <row r="350" spans="1:1">
      <c r="A350" s="93"/>
    </row>
    <row r="351" spans="1:1">
      <c r="A351" s="93"/>
    </row>
    <row r="352" spans="1:1">
      <c r="A352" s="93"/>
    </row>
    <row r="353" spans="1:1">
      <c r="A353" s="93"/>
    </row>
    <row r="354" spans="1:1">
      <c r="A354" s="93"/>
    </row>
    <row r="355" spans="1:1">
      <c r="A355" s="93"/>
    </row>
    <row r="356" spans="1:1">
      <c r="A356" s="93"/>
    </row>
    <row r="357" spans="1:1">
      <c r="A357" s="93"/>
    </row>
    <row r="358" spans="1:1">
      <c r="A358" s="93"/>
    </row>
    <row r="359" spans="1:1">
      <c r="A359" s="93"/>
    </row>
    <row r="360" spans="1:1">
      <c r="A360" s="93"/>
    </row>
    <row r="361" spans="1:1">
      <c r="A361" s="93"/>
    </row>
    <row r="362" spans="1:1">
      <c r="A362" s="93"/>
    </row>
    <row r="363" spans="1:1">
      <c r="A363" s="93"/>
    </row>
    <row r="364" spans="1:1">
      <c r="A364" s="93"/>
    </row>
    <row r="365" spans="1:1">
      <c r="A365" s="93"/>
    </row>
    <row r="366" spans="1:1">
      <c r="A366" s="93"/>
    </row>
    <row r="367" spans="1:1">
      <c r="A367" s="93"/>
    </row>
    <row r="368" spans="1:1">
      <c r="A368" s="93"/>
    </row>
    <row r="369" spans="1:1">
      <c r="A369" s="93"/>
    </row>
    <row r="370" spans="1:1">
      <c r="A370" s="93"/>
    </row>
    <row r="371" spans="1:1">
      <c r="A371" s="93"/>
    </row>
    <row r="372" spans="1:1">
      <c r="A372" s="93"/>
    </row>
    <row r="373" spans="1:1">
      <c r="A373" s="93"/>
    </row>
    <row r="374" spans="1:1">
      <c r="A374" s="93"/>
    </row>
    <row r="375" spans="1:1">
      <c r="A375" s="93"/>
    </row>
    <row r="376" spans="1:1">
      <c r="A376" s="93"/>
    </row>
    <row r="377" spans="1:1">
      <c r="A377" s="93"/>
    </row>
    <row r="378" spans="1:1">
      <c r="A378" s="93"/>
    </row>
    <row r="379" spans="1:1">
      <c r="A379" s="93"/>
    </row>
    <row r="380" spans="1:1">
      <c r="A380" s="93"/>
    </row>
    <row r="381" spans="1:1">
      <c r="A381" s="93"/>
    </row>
    <row r="382" spans="1:1">
      <c r="A382" s="93"/>
    </row>
    <row r="383" spans="1:1">
      <c r="A383" s="93"/>
    </row>
    <row r="384" spans="1:1">
      <c r="A384" s="93"/>
    </row>
    <row r="385" spans="1:1">
      <c r="A385" s="93"/>
    </row>
    <row r="386" spans="1:1">
      <c r="A386" s="93"/>
    </row>
    <row r="387" spans="1:1">
      <c r="A387" s="93"/>
    </row>
    <row r="388" spans="1:1">
      <c r="A388" s="93"/>
    </row>
    <row r="389" spans="1:1">
      <c r="A389" s="93"/>
    </row>
    <row r="390" spans="1:1">
      <c r="A390" s="93"/>
    </row>
    <row r="391" spans="1:1">
      <c r="A391" s="93"/>
    </row>
    <row r="392" spans="1:1">
      <c r="A392" s="93"/>
    </row>
    <row r="393" spans="1:1">
      <c r="A393" s="93"/>
    </row>
    <row r="394" spans="1:1">
      <c r="A394" s="93"/>
    </row>
    <row r="395" spans="1:1">
      <c r="A395" s="93"/>
    </row>
    <row r="396" spans="1:1">
      <c r="A396" s="93"/>
    </row>
    <row r="397" spans="1:1">
      <c r="A397" s="93"/>
    </row>
    <row r="398" spans="1:1">
      <c r="A398" s="93"/>
    </row>
    <row r="399" spans="1:1">
      <c r="A399" s="93"/>
    </row>
    <row r="400" spans="1:1">
      <c r="A400" s="93"/>
    </row>
    <row r="401" spans="1:1">
      <c r="A401" s="93"/>
    </row>
    <row r="402" spans="1:1">
      <c r="A402" s="93"/>
    </row>
    <row r="403" spans="1:1">
      <c r="A403" s="93"/>
    </row>
    <row r="404" spans="1:1">
      <c r="A404" s="93"/>
    </row>
    <row r="405" spans="1:1">
      <c r="A405" s="93"/>
    </row>
    <row r="406" spans="1:1">
      <c r="A406" s="93"/>
    </row>
    <row r="407" spans="1:1">
      <c r="A407" s="93"/>
    </row>
    <row r="408" spans="1:1">
      <c r="A408" s="93"/>
    </row>
    <row r="409" spans="1:1">
      <c r="A409" s="93"/>
    </row>
    <row r="410" spans="1:1">
      <c r="A410" s="93"/>
    </row>
    <row r="411" spans="1:1">
      <c r="A411" s="93"/>
    </row>
    <row r="412" spans="1:1">
      <c r="A412" s="93"/>
    </row>
    <row r="413" spans="1:1">
      <c r="A413" s="93"/>
    </row>
    <row r="414" spans="1:1">
      <c r="A414" s="93"/>
    </row>
    <row r="415" spans="1:1">
      <c r="A415" s="93"/>
    </row>
    <row r="416" spans="1:1">
      <c r="A416" s="93"/>
    </row>
    <row r="417" spans="1:1">
      <c r="A417" s="93"/>
    </row>
    <row r="418" spans="1:1">
      <c r="A418" s="93"/>
    </row>
    <row r="419" spans="1:1">
      <c r="A419" s="93"/>
    </row>
    <row r="420" spans="1:1">
      <c r="A420" s="93"/>
    </row>
    <row r="421" spans="1:1">
      <c r="A421" s="93"/>
    </row>
    <row r="422" spans="1:1">
      <c r="A422" s="93"/>
    </row>
    <row r="423" spans="1:1">
      <c r="A423" s="93"/>
    </row>
    <row r="424" spans="1:1">
      <c r="A424" s="93"/>
    </row>
    <row r="425" spans="1:1">
      <c r="A425" s="93"/>
    </row>
    <row r="426" spans="1:1">
      <c r="A426" s="93"/>
    </row>
    <row r="427" spans="1:1">
      <c r="A427" s="93"/>
    </row>
    <row r="428" spans="1:1">
      <c r="A428" s="93"/>
    </row>
    <row r="429" spans="1:1">
      <c r="A429" s="93"/>
    </row>
    <row r="430" spans="1:1">
      <c r="A430" s="93"/>
    </row>
    <row r="431" spans="1:1">
      <c r="A431" s="93"/>
    </row>
    <row r="432" spans="1:1">
      <c r="A432" s="93"/>
    </row>
    <row r="433" spans="1:1">
      <c r="A433" s="93"/>
    </row>
    <row r="434" spans="1:1">
      <c r="A434" s="93"/>
    </row>
    <row r="435" spans="1:1">
      <c r="A435" s="93"/>
    </row>
    <row r="436" spans="1:1">
      <c r="A436" s="93"/>
    </row>
    <row r="437" spans="1:1">
      <c r="A437" s="93"/>
    </row>
    <row r="438" spans="1:1">
      <c r="A438" s="93"/>
    </row>
    <row r="439" spans="1:1">
      <c r="A439" s="93"/>
    </row>
    <row r="440" spans="1:1">
      <c r="A440" s="93"/>
    </row>
    <row r="441" spans="1:1">
      <c r="A441" s="93"/>
    </row>
    <row r="442" spans="1:1">
      <c r="A442" s="93"/>
    </row>
    <row r="443" spans="1:1">
      <c r="A443" s="93"/>
    </row>
    <row r="444" spans="1:1">
      <c r="A444" s="93"/>
    </row>
    <row r="445" spans="1:1">
      <c r="A445" s="93"/>
    </row>
    <row r="446" spans="1:1">
      <c r="A446" s="93"/>
    </row>
    <row r="447" spans="1:1">
      <c r="A447" s="93"/>
    </row>
    <row r="448" spans="1:1">
      <c r="A448" s="93"/>
    </row>
    <row r="449" spans="1:1">
      <c r="A449" s="93"/>
    </row>
    <row r="450" spans="1:1">
      <c r="A450" s="93"/>
    </row>
    <row r="451" spans="1:1">
      <c r="A451" s="93"/>
    </row>
    <row r="452" spans="1:1">
      <c r="A452" s="93"/>
    </row>
    <row r="453" spans="1:1">
      <c r="A453" s="93"/>
    </row>
    <row r="454" spans="1:1">
      <c r="A454" s="93"/>
    </row>
  </sheetData>
  <mergeCells count="4">
    <mergeCell ref="A1:F1"/>
    <mergeCell ref="E231:G231"/>
    <mergeCell ref="B231:C231"/>
    <mergeCell ref="B232:C232"/>
  </mergeCells>
  <pageMargins left="0.39370078740157483" right="0.39370078740157483" top="0.78740157480314965" bottom="0.39370078740157483" header="0.19685039370078741" footer="0.19685039370078741"/>
  <pageSetup paperSize="9" scale="9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S167"/>
  <sheetViews>
    <sheetView view="pageBreakPreview" zoomScale="50" zoomScaleNormal="60" zoomScaleSheetLayoutView="50" workbookViewId="0">
      <selection activeCell="K154" sqref="K154:M154"/>
    </sheetView>
  </sheetViews>
  <sheetFormatPr defaultColWidth="9.140625" defaultRowHeight="20.25"/>
  <cols>
    <col min="1" max="1" width="8.28515625" style="3" customWidth="1"/>
    <col min="2" max="2" width="26.140625" style="3" customWidth="1"/>
    <col min="3" max="3" width="11.28515625" style="3" customWidth="1"/>
    <col min="4" max="4" width="15.28515625" style="3" customWidth="1"/>
    <col min="5" max="5" width="20.42578125" style="3" customWidth="1"/>
    <col min="6" max="6" width="18.42578125" style="3" customWidth="1"/>
    <col min="7" max="7" width="21.5703125" style="3" customWidth="1"/>
    <col min="8" max="8" width="18.42578125" style="3" customWidth="1"/>
    <col min="9" max="9" width="20.140625" style="3" customWidth="1"/>
    <col min="10" max="10" width="18.42578125" style="189" customWidth="1"/>
    <col min="11" max="11" width="18.7109375" style="3" customWidth="1"/>
    <col min="12" max="12" width="19" style="3" customWidth="1"/>
    <col min="13" max="13" width="20.42578125" style="3" customWidth="1"/>
    <col min="14" max="16" width="18.42578125" style="3" customWidth="1"/>
    <col min="17" max="18" width="9.140625" style="3"/>
    <col min="19" max="19" width="14.42578125" style="3" bestFit="1" customWidth="1"/>
    <col min="20" max="21" width="9.140625" style="3"/>
    <col min="22" max="22" width="15.85546875" style="3" bestFit="1" customWidth="1"/>
    <col min="23" max="16384" width="9.140625" style="3"/>
  </cols>
  <sheetData>
    <row r="1" spans="1:19">
      <c r="A1" s="94"/>
      <c r="B1" s="94"/>
      <c r="C1" s="94"/>
      <c r="D1" s="94"/>
      <c r="E1" s="94"/>
      <c r="F1" s="94"/>
      <c r="G1" s="94"/>
      <c r="H1" s="94"/>
      <c r="I1" s="95"/>
      <c r="J1" s="179"/>
      <c r="P1" s="95"/>
    </row>
    <row r="2" spans="1:19" s="10" customFormat="1" ht="54.75" customHeight="1">
      <c r="E2" s="245" t="s">
        <v>443</v>
      </c>
      <c r="F2" s="245"/>
      <c r="G2" s="245"/>
      <c r="H2" s="245"/>
      <c r="I2" s="245"/>
      <c r="J2" s="245"/>
      <c r="K2" s="245"/>
      <c r="L2" s="245"/>
      <c r="M2" s="245"/>
      <c r="N2" s="245"/>
    </row>
    <row r="3" spans="1:19">
      <c r="A3" s="96"/>
      <c r="B3" s="96"/>
      <c r="C3" s="96"/>
      <c r="D3" s="96"/>
      <c r="E3" s="97"/>
      <c r="F3" s="97"/>
      <c r="G3" s="97"/>
      <c r="H3" s="97"/>
      <c r="I3" s="97"/>
      <c r="J3" s="180"/>
      <c r="P3" s="95" t="s">
        <v>50</v>
      </c>
    </row>
    <row r="4" spans="1:19" ht="52.5" customHeight="1">
      <c r="A4" s="212" t="s">
        <v>8</v>
      </c>
      <c r="B4" s="212" t="s">
        <v>20</v>
      </c>
      <c r="C4" s="212"/>
      <c r="D4" s="212"/>
      <c r="E4" s="212" t="s">
        <v>130</v>
      </c>
      <c r="F4" s="212"/>
      <c r="G4" s="212" t="s">
        <v>131</v>
      </c>
      <c r="H4" s="212"/>
      <c r="I4" s="212" t="s">
        <v>132</v>
      </c>
      <c r="J4" s="212"/>
      <c r="K4" s="212" t="s">
        <v>595</v>
      </c>
      <c r="L4" s="212"/>
      <c r="M4" s="212" t="s">
        <v>133</v>
      </c>
      <c r="N4" s="212"/>
      <c r="O4" s="212"/>
      <c r="P4" s="212"/>
    </row>
    <row r="5" spans="1:19" ht="111" customHeight="1">
      <c r="A5" s="212"/>
      <c r="B5" s="212"/>
      <c r="C5" s="212"/>
      <c r="D5" s="212"/>
      <c r="E5" s="98" t="s">
        <v>448</v>
      </c>
      <c r="F5" s="98" t="s">
        <v>447</v>
      </c>
      <c r="G5" s="98" t="s">
        <v>448</v>
      </c>
      <c r="H5" s="98" t="s">
        <v>447</v>
      </c>
      <c r="I5" s="98" t="s">
        <v>448</v>
      </c>
      <c r="J5" s="153" t="s">
        <v>447</v>
      </c>
      <c r="K5" s="98" t="s">
        <v>448</v>
      </c>
      <c r="L5" s="98" t="s">
        <v>447</v>
      </c>
      <c r="M5" s="98" t="s">
        <v>448</v>
      </c>
      <c r="N5" s="98" t="s">
        <v>447</v>
      </c>
      <c r="O5" s="99" t="s">
        <v>108</v>
      </c>
      <c r="P5" s="99" t="s">
        <v>111</v>
      </c>
    </row>
    <row r="6" spans="1:19" ht="30" customHeight="1">
      <c r="A6" s="99">
        <v>1</v>
      </c>
      <c r="B6" s="212">
        <v>2</v>
      </c>
      <c r="C6" s="212"/>
      <c r="D6" s="212"/>
      <c r="E6" s="99">
        <v>4</v>
      </c>
      <c r="F6" s="99">
        <v>5</v>
      </c>
      <c r="G6" s="99">
        <v>7</v>
      </c>
      <c r="H6" s="99">
        <v>8</v>
      </c>
      <c r="I6" s="99">
        <v>10</v>
      </c>
      <c r="J6" s="152">
        <v>11</v>
      </c>
      <c r="K6" s="100">
        <v>13</v>
      </c>
      <c r="L6" s="100">
        <v>14</v>
      </c>
      <c r="M6" s="100">
        <v>16</v>
      </c>
      <c r="N6" s="100">
        <v>17</v>
      </c>
      <c r="O6" s="100">
        <v>18</v>
      </c>
      <c r="P6" s="100">
        <v>19</v>
      </c>
    </row>
    <row r="7" spans="1:19" ht="48" customHeight="1">
      <c r="A7" s="101">
        <v>2</v>
      </c>
      <c r="B7" s="213" t="s">
        <v>94</v>
      </c>
      <c r="C7" s="214"/>
      <c r="D7" s="214"/>
      <c r="E7" s="102">
        <f t="shared" ref="E7:L7" si="0">SUM(E8:E75)</f>
        <v>0</v>
      </c>
      <c r="F7" s="102">
        <f t="shared" si="0"/>
        <v>0</v>
      </c>
      <c r="G7" s="102">
        <f t="shared" si="0"/>
        <v>8744.4</v>
      </c>
      <c r="H7" s="102">
        <f t="shared" si="0"/>
        <v>22652.9</v>
      </c>
      <c r="I7" s="102">
        <f t="shared" si="0"/>
        <v>0</v>
      </c>
      <c r="J7" s="181">
        <f t="shared" si="0"/>
        <v>7</v>
      </c>
      <c r="K7" s="102">
        <f t="shared" si="0"/>
        <v>0</v>
      </c>
      <c r="L7" s="102">
        <f t="shared" si="0"/>
        <v>7581.6</v>
      </c>
      <c r="M7" s="103">
        <f>E7+G7+I7+K7</f>
        <v>8744.4</v>
      </c>
      <c r="N7" s="103">
        <f>F7+H7+J7+L7</f>
        <v>30241.5</v>
      </c>
      <c r="O7" s="103">
        <f>N7-M7</f>
        <v>21497.1</v>
      </c>
      <c r="P7" s="103">
        <f>(N7/M7)*100</f>
        <v>345.83847948401262</v>
      </c>
    </row>
    <row r="8" spans="1:19" ht="48" customHeight="1">
      <c r="A8" s="99"/>
      <c r="B8" s="221" t="s">
        <v>449</v>
      </c>
      <c r="C8" s="222"/>
      <c r="D8" s="223"/>
      <c r="E8" s="61"/>
      <c r="F8" s="61"/>
      <c r="G8" s="64">
        <v>270</v>
      </c>
      <c r="H8" s="61"/>
      <c r="I8" s="61"/>
      <c r="J8" s="4"/>
      <c r="K8" s="104"/>
      <c r="L8" s="105"/>
      <c r="M8" s="61">
        <f>E8+G8+I8+K8</f>
        <v>270</v>
      </c>
      <c r="N8" s="64">
        <f>F8+H8+J8+L8</f>
        <v>0</v>
      </c>
      <c r="O8" s="61">
        <f t="shared" ref="O8:O71" si="1">N8-M8</f>
        <v>-270</v>
      </c>
      <c r="P8" s="61">
        <f t="shared" ref="P8:P71" si="2">(N8/M8)*100</f>
        <v>0</v>
      </c>
      <c r="S8" s="46"/>
    </row>
    <row r="9" spans="1:19" ht="34.5" customHeight="1">
      <c r="A9" s="99"/>
      <c r="B9" s="227" t="s">
        <v>450</v>
      </c>
      <c r="C9" s="228"/>
      <c r="D9" s="229"/>
      <c r="E9" s="61"/>
      <c r="F9" s="61"/>
      <c r="G9" s="64">
        <v>2644.9</v>
      </c>
      <c r="H9" s="61"/>
      <c r="I9" s="61"/>
      <c r="J9" s="4"/>
      <c r="K9" s="104"/>
      <c r="L9" s="105"/>
      <c r="M9" s="61">
        <f t="shared" ref="M9:M72" si="3">E9+G9+I9+K9</f>
        <v>2644.9</v>
      </c>
      <c r="N9" s="64">
        <f t="shared" ref="N9:N72" si="4">F9+H9+J9+L9</f>
        <v>0</v>
      </c>
      <c r="O9" s="61">
        <f t="shared" si="1"/>
        <v>-2644.9</v>
      </c>
      <c r="P9" s="61">
        <f t="shared" si="2"/>
        <v>0</v>
      </c>
    </row>
    <row r="10" spans="1:19" ht="39" customHeight="1">
      <c r="A10" s="99"/>
      <c r="B10" s="230" t="s">
        <v>451</v>
      </c>
      <c r="C10" s="231"/>
      <c r="D10" s="232"/>
      <c r="E10" s="61"/>
      <c r="F10" s="61"/>
      <c r="G10" s="64">
        <v>1210.4000000000001</v>
      </c>
      <c r="H10" s="61"/>
      <c r="I10" s="61"/>
      <c r="J10" s="4"/>
      <c r="K10" s="104"/>
      <c r="L10" s="105"/>
      <c r="M10" s="61">
        <f t="shared" si="3"/>
        <v>1210.4000000000001</v>
      </c>
      <c r="N10" s="64">
        <f t="shared" si="4"/>
        <v>0</v>
      </c>
      <c r="O10" s="61">
        <f t="shared" si="1"/>
        <v>-1210.4000000000001</v>
      </c>
      <c r="P10" s="61">
        <f t="shared" si="2"/>
        <v>0</v>
      </c>
    </row>
    <row r="11" spans="1:19" ht="48" customHeight="1">
      <c r="A11" s="99"/>
      <c r="B11" s="227" t="s">
        <v>452</v>
      </c>
      <c r="C11" s="228"/>
      <c r="D11" s="229"/>
      <c r="E11" s="61"/>
      <c r="F11" s="61"/>
      <c r="G11" s="64">
        <v>118</v>
      </c>
      <c r="H11" s="61"/>
      <c r="I11" s="61"/>
      <c r="J11" s="4"/>
      <c r="K11" s="104"/>
      <c r="L11" s="105"/>
      <c r="M11" s="61">
        <f t="shared" si="3"/>
        <v>118</v>
      </c>
      <c r="N11" s="64">
        <f t="shared" si="4"/>
        <v>0</v>
      </c>
      <c r="O11" s="61">
        <f t="shared" si="1"/>
        <v>-118</v>
      </c>
      <c r="P11" s="61">
        <f t="shared" si="2"/>
        <v>0</v>
      </c>
    </row>
    <row r="12" spans="1:19" ht="28.5" customHeight="1">
      <c r="A12" s="99"/>
      <c r="B12" s="215" t="s">
        <v>320</v>
      </c>
      <c r="C12" s="216"/>
      <c r="D12" s="217"/>
      <c r="E12" s="61"/>
      <c r="F12" s="61"/>
      <c r="G12" s="64">
        <v>112</v>
      </c>
      <c r="H12" s="61"/>
      <c r="I12" s="61"/>
      <c r="J12" s="4"/>
      <c r="K12" s="104"/>
      <c r="L12" s="105"/>
      <c r="M12" s="61">
        <f t="shared" si="3"/>
        <v>112</v>
      </c>
      <c r="N12" s="64">
        <f t="shared" si="4"/>
        <v>0</v>
      </c>
      <c r="O12" s="61">
        <f t="shared" si="1"/>
        <v>-112</v>
      </c>
      <c r="P12" s="61">
        <f t="shared" si="2"/>
        <v>0</v>
      </c>
    </row>
    <row r="13" spans="1:19" ht="48" customHeight="1">
      <c r="A13" s="99"/>
      <c r="B13" s="230" t="s">
        <v>454</v>
      </c>
      <c r="C13" s="231"/>
      <c r="D13" s="232"/>
      <c r="E13" s="72"/>
      <c r="F13" s="72"/>
      <c r="G13" s="64">
        <v>51</v>
      </c>
      <c r="H13" s="61"/>
      <c r="I13" s="61"/>
      <c r="J13" s="4"/>
      <c r="K13" s="104"/>
      <c r="L13" s="105"/>
      <c r="M13" s="61">
        <f t="shared" si="3"/>
        <v>51</v>
      </c>
      <c r="N13" s="64">
        <f t="shared" si="4"/>
        <v>0</v>
      </c>
      <c r="O13" s="61">
        <f t="shared" si="1"/>
        <v>-51</v>
      </c>
      <c r="P13" s="61">
        <f t="shared" si="2"/>
        <v>0</v>
      </c>
    </row>
    <row r="14" spans="1:19" ht="48" customHeight="1">
      <c r="A14" s="99"/>
      <c r="B14" s="227" t="s">
        <v>455</v>
      </c>
      <c r="C14" s="228"/>
      <c r="D14" s="229"/>
      <c r="E14" s="71"/>
      <c r="F14" s="71"/>
      <c r="G14" s="64">
        <v>199.7</v>
      </c>
      <c r="H14" s="61"/>
      <c r="I14" s="61"/>
      <c r="J14" s="4"/>
      <c r="K14" s="104"/>
      <c r="L14" s="105"/>
      <c r="M14" s="61">
        <f t="shared" si="3"/>
        <v>199.7</v>
      </c>
      <c r="N14" s="64">
        <f t="shared" si="4"/>
        <v>0</v>
      </c>
      <c r="O14" s="61">
        <f t="shared" si="1"/>
        <v>-199.7</v>
      </c>
      <c r="P14" s="61">
        <f t="shared" si="2"/>
        <v>0</v>
      </c>
    </row>
    <row r="15" spans="1:19" ht="48" customHeight="1">
      <c r="A15" s="99"/>
      <c r="B15" s="230" t="s">
        <v>456</v>
      </c>
      <c r="C15" s="231"/>
      <c r="D15" s="232"/>
      <c r="E15" s="72"/>
      <c r="F15" s="72"/>
      <c r="G15" s="64">
        <v>177.5</v>
      </c>
      <c r="H15" s="61"/>
      <c r="I15" s="61"/>
      <c r="J15" s="4"/>
      <c r="K15" s="104"/>
      <c r="L15" s="105"/>
      <c r="M15" s="61">
        <f t="shared" si="3"/>
        <v>177.5</v>
      </c>
      <c r="N15" s="64">
        <f t="shared" si="4"/>
        <v>0</v>
      </c>
      <c r="O15" s="61">
        <f t="shared" si="1"/>
        <v>-177.5</v>
      </c>
      <c r="P15" s="61">
        <f t="shared" si="2"/>
        <v>0</v>
      </c>
    </row>
    <row r="16" spans="1:19" ht="48" customHeight="1">
      <c r="A16" s="99"/>
      <c r="B16" s="227" t="s">
        <v>457</v>
      </c>
      <c r="C16" s="228"/>
      <c r="D16" s="229"/>
      <c r="E16" s="71"/>
      <c r="F16" s="71"/>
      <c r="G16" s="64">
        <v>270</v>
      </c>
      <c r="H16" s="61"/>
      <c r="I16" s="61"/>
      <c r="J16" s="4"/>
      <c r="K16" s="104"/>
      <c r="L16" s="105"/>
      <c r="M16" s="61">
        <f t="shared" si="3"/>
        <v>270</v>
      </c>
      <c r="N16" s="64">
        <f t="shared" si="4"/>
        <v>0</v>
      </c>
      <c r="O16" s="61">
        <f t="shared" si="1"/>
        <v>-270</v>
      </c>
      <c r="P16" s="61">
        <f t="shared" si="2"/>
        <v>0</v>
      </c>
    </row>
    <row r="17" spans="1:16" ht="37.5" customHeight="1">
      <c r="A17" s="99"/>
      <c r="B17" s="227" t="s">
        <v>458</v>
      </c>
      <c r="C17" s="228"/>
      <c r="D17" s="229"/>
      <c r="E17" s="71"/>
      <c r="F17" s="71"/>
      <c r="G17" s="64">
        <v>116</v>
      </c>
      <c r="H17" s="61"/>
      <c r="I17" s="61"/>
      <c r="J17" s="4"/>
      <c r="K17" s="104"/>
      <c r="L17" s="105"/>
      <c r="M17" s="61">
        <f t="shared" si="3"/>
        <v>116</v>
      </c>
      <c r="N17" s="64">
        <f t="shared" si="4"/>
        <v>0</v>
      </c>
      <c r="O17" s="61">
        <f t="shared" si="1"/>
        <v>-116</v>
      </c>
      <c r="P17" s="61">
        <f t="shared" si="2"/>
        <v>0</v>
      </c>
    </row>
    <row r="18" spans="1:16" ht="33" customHeight="1">
      <c r="A18" s="99"/>
      <c r="B18" s="227" t="s">
        <v>459</v>
      </c>
      <c r="C18" s="228"/>
      <c r="D18" s="229"/>
      <c r="E18" s="71"/>
      <c r="F18" s="71"/>
      <c r="G18" s="64">
        <v>57.4</v>
      </c>
      <c r="H18" s="61"/>
      <c r="I18" s="61"/>
      <c r="J18" s="4"/>
      <c r="K18" s="104"/>
      <c r="L18" s="105"/>
      <c r="M18" s="61">
        <f t="shared" si="3"/>
        <v>57.4</v>
      </c>
      <c r="N18" s="64">
        <f t="shared" si="4"/>
        <v>0</v>
      </c>
      <c r="O18" s="61">
        <f t="shared" si="1"/>
        <v>-57.4</v>
      </c>
      <c r="P18" s="61">
        <f t="shared" si="2"/>
        <v>0</v>
      </c>
    </row>
    <row r="19" spans="1:16" ht="39" customHeight="1">
      <c r="A19" s="99"/>
      <c r="B19" s="234" t="s">
        <v>460</v>
      </c>
      <c r="C19" s="234"/>
      <c r="D19" s="234"/>
      <c r="E19" s="71"/>
      <c r="F19" s="71"/>
      <c r="G19" s="71">
        <v>116.5</v>
      </c>
      <c r="H19" s="61"/>
      <c r="I19" s="61"/>
      <c r="J19" s="4"/>
      <c r="K19" s="104"/>
      <c r="L19" s="105"/>
      <c r="M19" s="61">
        <f t="shared" si="3"/>
        <v>116.5</v>
      </c>
      <c r="N19" s="64">
        <f t="shared" si="4"/>
        <v>0</v>
      </c>
      <c r="O19" s="61">
        <f t="shared" si="1"/>
        <v>-116.5</v>
      </c>
      <c r="P19" s="61">
        <f t="shared" si="2"/>
        <v>0</v>
      </c>
    </row>
    <row r="20" spans="1:16" ht="57" customHeight="1">
      <c r="A20" s="99"/>
      <c r="B20" s="234" t="s">
        <v>461</v>
      </c>
      <c r="C20" s="234"/>
      <c r="D20" s="234"/>
      <c r="E20" s="71"/>
      <c r="F20" s="71"/>
      <c r="G20" s="71">
        <v>1700</v>
      </c>
      <c r="H20" s="61"/>
      <c r="I20" s="61"/>
      <c r="J20" s="4"/>
      <c r="K20" s="104"/>
      <c r="L20" s="105"/>
      <c r="M20" s="61">
        <f t="shared" si="3"/>
        <v>1700</v>
      </c>
      <c r="N20" s="64">
        <f t="shared" si="4"/>
        <v>0</v>
      </c>
      <c r="O20" s="61">
        <f t="shared" si="1"/>
        <v>-1700</v>
      </c>
      <c r="P20" s="61">
        <f t="shared" si="2"/>
        <v>0</v>
      </c>
    </row>
    <row r="21" spans="1:16" ht="48" customHeight="1">
      <c r="A21" s="99"/>
      <c r="B21" s="233" t="s">
        <v>469</v>
      </c>
      <c r="C21" s="233"/>
      <c r="D21" s="233"/>
      <c r="E21" s="73"/>
      <c r="F21" s="73"/>
      <c r="G21" s="73">
        <v>620</v>
      </c>
      <c r="H21" s="61"/>
      <c r="I21" s="61"/>
      <c r="J21" s="4"/>
      <c r="K21" s="104"/>
      <c r="L21" s="105"/>
      <c r="M21" s="61">
        <f t="shared" si="3"/>
        <v>620</v>
      </c>
      <c r="N21" s="64">
        <f t="shared" si="4"/>
        <v>0</v>
      </c>
      <c r="O21" s="61">
        <f t="shared" si="1"/>
        <v>-620</v>
      </c>
      <c r="P21" s="61">
        <f t="shared" si="2"/>
        <v>0</v>
      </c>
    </row>
    <row r="22" spans="1:16" ht="48" customHeight="1">
      <c r="A22" s="99"/>
      <c r="B22" s="233" t="s">
        <v>463</v>
      </c>
      <c r="C22" s="233"/>
      <c r="D22" s="233"/>
      <c r="E22" s="73"/>
      <c r="F22" s="73"/>
      <c r="G22" s="73">
        <v>118.9</v>
      </c>
      <c r="H22" s="61"/>
      <c r="I22" s="61"/>
      <c r="J22" s="4"/>
      <c r="K22" s="104"/>
      <c r="L22" s="105"/>
      <c r="M22" s="61">
        <f t="shared" si="3"/>
        <v>118.9</v>
      </c>
      <c r="N22" s="64">
        <f t="shared" si="4"/>
        <v>0</v>
      </c>
      <c r="O22" s="61">
        <f t="shared" si="1"/>
        <v>-118.9</v>
      </c>
      <c r="P22" s="61">
        <f t="shared" si="2"/>
        <v>0</v>
      </c>
    </row>
    <row r="23" spans="1:16" ht="48" customHeight="1">
      <c r="A23" s="99"/>
      <c r="B23" s="235" t="s">
        <v>464</v>
      </c>
      <c r="C23" s="235"/>
      <c r="D23" s="235"/>
      <c r="E23" s="72"/>
      <c r="F23" s="72"/>
      <c r="G23" s="72">
        <v>120</v>
      </c>
      <c r="H23" s="61"/>
      <c r="I23" s="61"/>
      <c r="J23" s="4"/>
      <c r="K23" s="104"/>
      <c r="L23" s="105"/>
      <c r="M23" s="61">
        <f t="shared" si="3"/>
        <v>120</v>
      </c>
      <c r="N23" s="64">
        <f t="shared" si="4"/>
        <v>0</v>
      </c>
      <c r="O23" s="61">
        <f t="shared" si="1"/>
        <v>-120</v>
      </c>
      <c r="P23" s="61">
        <f t="shared" si="2"/>
        <v>0</v>
      </c>
    </row>
    <row r="24" spans="1:16" ht="48" customHeight="1">
      <c r="A24" s="99"/>
      <c r="B24" s="233" t="s">
        <v>465</v>
      </c>
      <c r="C24" s="233"/>
      <c r="D24" s="233"/>
      <c r="E24" s="73"/>
      <c r="F24" s="73"/>
      <c r="G24" s="72">
        <v>378</v>
      </c>
      <c r="H24" s="61"/>
      <c r="I24" s="61"/>
      <c r="J24" s="4"/>
      <c r="K24" s="104"/>
      <c r="L24" s="105"/>
      <c r="M24" s="61">
        <f t="shared" si="3"/>
        <v>378</v>
      </c>
      <c r="N24" s="64">
        <f t="shared" si="4"/>
        <v>0</v>
      </c>
      <c r="O24" s="61">
        <f t="shared" si="1"/>
        <v>-378</v>
      </c>
      <c r="P24" s="61">
        <f t="shared" si="2"/>
        <v>0</v>
      </c>
    </row>
    <row r="25" spans="1:16" ht="48" customHeight="1">
      <c r="A25" s="99"/>
      <c r="B25" s="233" t="s">
        <v>466</v>
      </c>
      <c r="C25" s="233"/>
      <c r="D25" s="233"/>
      <c r="E25" s="73"/>
      <c r="F25" s="73"/>
      <c r="G25" s="72">
        <v>130</v>
      </c>
      <c r="H25" s="61"/>
      <c r="I25" s="61"/>
      <c r="J25" s="4"/>
      <c r="K25" s="104"/>
      <c r="L25" s="105"/>
      <c r="M25" s="61">
        <f t="shared" si="3"/>
        <v>130</v>
      </c>
      <c r="N25" s="64">
        <f t="shared" si="4"/>
        <v>0</v>
      </c>
      <c r="O25" s="61">
        <f t="shared" si="1"/>
        <v>-130</v>
      </c>
      <c r="P25" s="61">
        <f t="shared" si="2"/>
        <v>0</v>
      </c>
    </row>
    <row r="26" spans="1:16" ht="48" customHeight="1">
      <c r="A26" s="99"/>
      <c r="B26" s="235" t="s">
        <v>467</v>
      </c>
      <c r="C26" s="235"/>
      <c r="D26" s="235"/>
      <c r="E26" s="72"/>
      <c r="F26" s="72"/>
      <c r="G26" s="72">
        <v>140</v>
      </c>
      <c r="H26" s="61"/>
      <c r="I26" s="61"/>
      <c r="J26" s="4"/>
      <c r="K26" s="104"/>
      <c r="L26" s="105"/>
      <c r="M26" s="61">
        <f t="shared" si="3"/>
        <v>140</v>
      </c>
      <c r="N26" s="64">
        <f t="shared" si="4"/>
        <v>0</v>
      </c>
      <c r="O26" s="61">
        <f t="shared" si="1"/>
        <v>-140</v>
      </c>
      <c r="P26" s="61">
        <f t="shared" si="2"/>
        <v>0</v>
      </c>
    </row>
    <row r="27" spans="1:16" ht="48" customHeight="1">
      <c r="A27" s="99"/>
      <c r="B27" s="235" t="s">
        <v>468</v>
      </c>
      <c r="C27" s="235"/>
      <c r="D27" s="235"/>
      <c r="E27" s="72"/>
      <c r="F27" s="72"/>
      <c r="G27" s="72">
        <v>194.1</v>
      </c>
      <c r="H27" s="61"/>
      <c r="I27" s="61"/>
      <c r="J27" s="4"/>
      <c r="K27" s="104"/>
      <c r="L27" s="105"/>
      <c r="M27" s="61">
        <f t="shared" si="3"/>
        <v>194.1</v>
      </c>
      <c r="N27" s="64">
        <f t="shared" si="4"/>
        <v>0</v>
      </c>
      <c r="O27" s="61">
        <f t="shared" si="1"/>
        <v>-194.1</v>
      </c>
      <c r="P27" s="61">
        <f t="shared" si="2"/>
        <v>0</v>
      </c>
    </row>
    <row r="28" spans="1:16" ht="48" customHeight="1">
      <c r="A28" s="99"/>
      <c r="B28" s="224" t="s">
        <v>561</v>
      </c>
      <c r="C28" s="225"/>
      <c r="D28" s="226"/>
      <c r="E28" s="72"/>
      <c r="F28" s="72"/>
      <c r="G28" s="68"/>
      <c r="H28" s="68">
        <v>363.1</v>
      </c>
      <c r="I28" s="61"/>
      <c r="J28" s="182"/>
      <c r="K28" s="104"/>
      <c r="L28" s="105"/>
      <c r="M28" s="61">
        <f t="shared" si="3"/>
        <v>0</v>
      </c>
      <c r="N28" s="64">
        <f t="shared" si="4"/>
        <v>363.1</v>
      </c>
      <c r="O28" s="61">
        <f t="shared" si="1"/>
        <v>363.1</v>
      </c>
      <c r="P28" s="191" t="e">
        <f t="shared" si="2"/>
        <v>#DIV/0!</v>
      </c>
    </row>
    <row r="29" spans="1:16" ht="48" customHeight="1">
      <c r="A29" s="99"/>
      <c r="B29" s="224" t="s">
        <v>562</v>
      </c>
      <c r="C29" s="225"/>
      <c r="D29" s="226"/>
      <c r="E29" s="72"/>
      <c r="F29" s="72"/>
      <c r="G29" s="72"/>
      <c r="H29" s="61"/>
      <c r="I29" s="61"/>
      <c r="J29" s="182"/>
      <c r="K29" s="104"/>
      <c r="L29" s="105">
        <v>118.8</v>
      </c>
      <c r="M29" s="61">
        <f t="shared" si="3"/>
        <v>0</v>
      </c>
      <c r="N29" s="64">
        <f t="shared" si="4"/>
        <v>118.8</v>
      </c>
      <c r="O29" s="61">
        <f t="shared" si="1"/>
        <v>118.8</v>
      </c>
      <c r="P29" s="191" t="e">
        <f t="shared" si="2"/>
        <v>#DIV/0!</v>
      </c>
    </row>
    <row r="30" spans="1:16" ht="48" customHeight="1">
      <c r="A30" s="99"/>
      <c r="B30" s="224" t="s">
        <v>533</v>
      </c>
      <c r="C30" s="225"/>
      <c r="D30" s="226"/>
      <c r="E30" s="72"/>
      <c r="F30" s="72"/>
      <c r="G30" s="72"/>
      <c r="H30" s="61"/>
      <c r="I30" s="61"/>
      <c r="J30" s="182"/>
      <c r="K30" s="104"/>
      <c r="L30" s="68">
        <v>213.9</v>
      </c>
      <c r="M30" s="61">
        <f t="shared" si="3"/>
        <v>0</v>
      </c>
      <c r="N30" s="64">
        <f t="shared" si="4"/>
        <v>213.9</v>
      </c>
      <c r="O30" s="61">
        <f t="shared" si="1"/>
        <v>213.9</v>
      </c>
      <c r="P30" s="191" t="e">
        <f t="shared" si="2"/>
        <v>#DIV/0!</v>
      </c>
    </row>
    <row r="31" spans="1:16" ht="48" customHeight="1">
      <c r="A31" s="99"/>
      <c r="B31" s="224" t="s">
        <v>534</v>
      </c>
      <c r="C31" s="225"/>
      <c r="D31" s="226"/>
      <c r="E31" s="72"/>
      <c r="F31" s="72"/>
      <c r="G31" s="72"/>
      <c r="H31" s="61"/>
      <c r="I31" s="61"/>
      <c r="J31" s="182"/>
      <c r="K31" s="104"/>
      <c r="L31" s="68">
        <v>378.5</v>
      </c>
      <c r="M31" s="61">
        <f t="shared" si="3"/>
        <v>0</v>
      </c>
      <c r="N31" s="64">
        <f t="shared" si="4"/>
        <v>378.5</v>
      </c>
      <c r="O31" s="61">
        <f t="shared" si="1"/>
        <v>378.5</v>
      </c>
      <c r="P31" s="191" t="e">
        <f t="shared" si="2"/>
        <v>#DIV/0!</v>
      </c>
    </row>
    <row r="32" spans="1:16" ht="61.5" customHeight="1">
      <c r="A32" s="99"/>
      <c r="B32" s="224" t="s">
        <v>560</v>
      </c>
      <c r="C32" s="225"/>
      <c r="D32" s="226"/>
      <c r="E32" s="72"/>
      <c r="F32" s="72"/>
      <c r="G32" s="72"/>
      <c r="H32" s="61"/>
      <c r="I32" s="61"/>
      <c r="J32" s="182"/>
      <c r="K32" s="104"/>
      <c r="L32" s="68">
        <v>1015.2</v>
      </c>
      <c r="M32" s="61">
        <f t="shared" si="3"/>
        <v>0</v>
      </c>
      <c r="N32" s="64">
        <f t="shared" si="4"/>
        <v>1015.2</v>
      </c>
      <c r="O32" s="61">
        <f t="shared" si="1"/>
        <v>1015.2</v>
      </c>
      <c r="P32" s="191" t="e">
        <f t="shared" si="2"/>
        <v>#DIV/0!</v>
      </c>
    </row>
    <row r="33" spans="1:16" ht="48" customHeight="1">
      <c r="A33" s="99"/>
      <c r="B33" s="224" t="s">
        <v>563</v>
      </c>
      <c r="C33" s="225"/>
      <c r="D33" s="226"/>
      <c r="E33" s="72"/>
      <c r="F33" s="72"/>
      <c r="G33" s="72"/>
      <c r="H33" s="61"/>
      <c r="I33" s="61"/>
      <c r="J33" s="182"/>
      <c r="K33" s="104"/>
      <c r="L33" s="68">
        <v>102.4</v>
      </c>
      <c r="M33" s="61">
        <f t="shared" si="3"/>
        <v>0</v>
      </c>
      <c r="N33" s="64">
        <f t="shared" si="4"/>
        <v>102.4</v>
      </c>
      <c r="O33" s="61">
        <f t="shared" si="1"/>
        <v>102.4</v>
      </c>
      <c r="P33" s="191" t="e">
        <f t="shared" si="2"/>
        <v>#DIV/0!</v>
      </c>
    </row>
    <row r="34" spans="1:16" ht="64.5" customHeight="1">
      <c r="A34" s="99"/>
      <c r="B34" s="224" t="s">
        <v>564</v>
      </c>
      <c r="C34" s="225"/>
      <c r="D34" s="226"/>
      <c r="E34" s="72"/>
      <c r="F34" s="72"/>
      <c r="G34" s="72"/>
      <c r="H34" s="61"/>
      <c r="I34" s="61"/>
      <c r="J34" s="182"/>
      <c r="K34" s="104"/>
      <c r="L34" s="68">
        <v>21.9</v>
      </c>
      <c r="M34" s="61">
        <f t="shared" si="3"/>
        <v>0</v>
      </c>
      <c r="N34" s="64">
        <f t="shared" si="4"/>
        <v>21.9</v>
      </c>
      <c r="O34" s="61">
        <f t="shared" si="1"/>
        <v>21.9</v>
      </c>
      <c r="P34" s="191" t="e">
        <f t="shared" si="2"/>
        <v>#DIV/0!</v>
      </c>
    </row>
    <row r="35" spans="1:16" ht="61.5" customHeight="1">
      <c r="A35" s="99"/>
      <c r="B35" s="224" t="s">
        <v>535</v>
      </c>
      <c r="C35" s="225"/>
      <c r="D35" s="226"/>
      <c r="E35" s="72"/>
      <c r="F35" s="72"/>
      <c r="G35" s="72"/>
      <c r="H35" s="61"/>
      <c r="I35" s="61"/>
      <c r="J35" s="182"/>
      <c r="K35" s="104"/>
      <c r="L35" s="68">
        <v>29.2</v>
      </c>
      <c r="M35" s="61">
        <f t="shared" si="3"/>
        <v>0</v>
      </c>
      <c r="N35" s="64">
        <f t="shared" si="4"/>
        <v>29.2</v>
      </c>
      <c r="O35" s="61">
        <f t="shared" si="1"/>
        <v>29.2</v>
      </c>
      <c r="P35" s="191" t="e">
        <f t="shared" si="2"/>
        <v>#DIV/0!</v>
      </c>
    </row>
    <row r="36" spans="1:16" ht="34.5" customHeight="1">
      <c r="A36" s="99"/>
      <c r="B36" s="224" t="s">
        <v>536</v>
      </c>
      <c r="C36" s="225"/>
      <c r="D36" s="226"/>
      <c r="E36" s="72"/>
      <c r="F36" s="72"/>
      <c r="G36" s="72"/>
      <c r="H36" s="61"/>
      <c r="I36" s="61"/>
      <c r="J36" s="182"/>
      <c r="K36" s="104"/>
      <c r="L36" s="68">
        <v>20.100000000000001</v>
      </c>
      <c r="M36" s="61">
        <f t="shared" si="3"/>
        <v>0</v>
      </c>
      <c r="N36" s="64">
        <f t="shared" si="4"/>
        <v>20.100000000000001</v>
      </c>
      <c r="O36" s="61">
        <f t="shared" si="1"/>
        <v>20.100000000000001</v>
      </c>
      <c r="P36" s="191" t="e">
        <f t="shared" si="2"/>
        <v>#DIV/0!</v>
      </c>
    </row>
    <row r="37" spans="1:16" ht="48" customHeight="1">
      <c r="A37" s="99"/>
      <c r="B37" s="224" t="s">
        <v>537</v>
      </c>
      <c r="C37" s="225"/>
      <c r="D37" s="226"/>
      <c r="E37" s="72"/>
      <c r="F37" s="72"/>
      <c r="G37" s="72"/>
      <c r="H37" s="64"/>
      <c r="I37" s="61"/>
      <c r="J37" s="182"/>
      <c r="K37" s="104"/>
      <c r="L37" s="105">
        <v>68.400000000000006</v>
      </c>
      <c r="M37" s="61">
        <f t="shared" si="3"/>
        <v>0</v>
      </c>
      <c r="N37" s="64">
        <f t="shared" si="4"/>
        <v>68.400000000000006</v>
      </c>
      <c r="O37" s="61">
        <f t="shared" si="1"/>
        <v>68.400000000000006</v>
      </c>
      <c r="P37" s="191" t="e">
        <f t="shared" si="2"/>
        <v>#DIV/0!</v>
      </c>
    </row>
    <row r="38" spans="1:16" ht="48" customHeight="1">
      <c r="A38" s="99"/>
      <c r="B38" s="224" t="s">
        <v>538</v>
      </c>
      <c r="C38" s="225"/>
      <c r="D38" s="226"/>
      <c r="E38" s="72"/>
      <c r="F38" s="72"/>
      <c r="G38" s="72"/>
      <c r="H38" s="64">
        <v>116.2</v>
      </c>
      <c r="I38" s="61"/>
      <c r="J38" s="182"/>
      <c r="K38" s="104"/>
      <c r="L38" s="105"/>
      <c r="M38" s="61">
        <f t="shared" si="3"/>
        <v>0</v>
      </c>
      <c r="N38" s="64">
        <f t="shared" si="4"/>
        <v>116.2</v>
      </c>
      <c r="O38" s="61">
        <f t="shared" si="1"/>
        <v>116.2</v>
      </c>
      <c r="P38" s="191" t="e">
        <f t="shared" si="2"/>
        <v>#DIV/0!</v>
      </c>
    </row>
    <row r="39" spans="1:16" ht="48" customHeight="1">
      <c r="A39" s="99"/>
      <c r="B39" s="224" t="s">
        <v>539</v>
      </c>
      <c r="C39" s="225"/>
      <c r="D39" s="226"/>
      <c r="E39" s="72"/>
      <c r="F39" s="72"/>
      <c r="G39" s="72"/>
      <c r="H39" s="64">
        <v>133</v>
      </c>
      <c r="I39" s="61"/>
      <c r="J39" s="182"/>
      <c r="K39" s="104"/>
      <c r="L39" s="105"/>
      <c r="M39" s="61">
        <f t="shared" si="3"/>
        <v>0</v>
      </c>
      <c r="N39" s="64">
        <f t="shared" si="4"/>
        <v>133</v>
      </c>
      <c r="O39" s="61">
        <f t="shared" si="1"/>
        <v>133</v>
      </c>
      <c r="P39" s="191" t="e">
        <f t="shared" si="2"/>
        <v>#DIV/0!</v>
      </c>
    </row>
    <row r="40" spans="1:16" ht="48" customHeight="1">
      <c r="A40" s="99"/>
      <c r="B40" s="224" t="s">
        <v>540</v>
      </c>
      <c r="C40" s="225"/>
      <c r="D40" s="226"/>
      <c r="E40" s="72"/>
      <c r="F40" s="72"/>
      <c r="G40" s="72"/>
      <c r="H40" s="64">
        <v>78.900000000000006</v>
      </c>
      <c r="I40" s="61"/>
      <c r="J40" s="182"/>
      <c r="K40" s="104"/>
      <c r="L40" s="105"/>
      <c r="M40" s="61">
        <f t="shared" si="3"/>
        <v>0</v>
      </c>
      <c r="N40" s="64">
        <f t="shared" si="4"/>
        <v>78.900000000000006</v>
      </c>
      <c r="O40" s="61">
        <f t="shared" si="1"/>
        <v>78.900000000000006</v>
      </c>
      <c r="P40" s="191" t="e">
        <f t="shared" si="2"/>
        <v>#DIV/0!</v>
      </c>
    </row>
    <row r="41" spans="1:16" ht="30" customHeight="1">
      <c r="A41" s="99"/>
      <c r="B41" s="224" t="s">
        <v>541</v>
      </c>
      <c r="C41" s="225"/>
      <c r="D41" s="226"/>
      <c r="E41" s="72"/>
      <c r="F41" s="72"/>
      <c r="G41" s="72"/>
      <c r="H41" s="61"/>
      <c r="I41" s="61"/>
      <c r="J41" s="182"/>
      <c r="K41" s="104"/>
      <c r="L41" s="105">
        <v>80</v>
      </c>
      <c r="M41" s="61">
        <f t="shared" si="3"/>
        <v>0</v>
      </c>
      <c r="N41" s="64">
        <f t="shared" si="4"/>
        <v>80</v>
      </c>
      <c r="O41" s="61">
        <f t="shared" si="1"/>
        <v>80</v>
      </c>
      <c r="P41" s="191" t="e">
        <f t="shared" si="2"/>
        <v>#DIV/0!</v>
      </c>
    </row>
    <row r="42" spans="1:16" ht="48" customHeight="1">
      <c r="A42" s="99"/>
      <c r="B42" s="224" t="s">
        <v>542</v>
      </c>
      <c r="C42" s="225"/>
      <c r="D42" s="226"/>
      <c r="E42" s="72"/>
      <c r="F42" s="72"/>
      <c r="G42" s="72"/>
      <c r="H42" s="61"/>
      <c r="I42" s="61"/>
      <c r="J42" s="182">
        <v>7</v>
      </c>
      <c r="K42" s="104"/>
      <c r="L42" s="105"/>
      <c r="M42" s="61">
        <f t="shared" si="3"/>
        <v>0</v>
      </c>
      <c r="N42" s="64">
        <f t="shared" si="4"/>
        <v>7</v>
      </c>
      <c r="O42" s="61">
        <f t="shared" si="1"/>
        <v>7</v>
      </c>
      <c r="P42" s="191" t="e">
        <f t="shared" si="2"/>
        <v>#DIV/0!</v>
      </c>
    </row>
    <row r="43" spans="1:16" ht="48" customHeight="1">
      <c r="A43" s="99"/>
      <c r="B43" s="224" t="s">
        <v>543</v>
      </c>
      <c r="C43" s="225"/>
      <c r="D43" s="226"/>
      <c r="E43" s="72"/>
      <c r="F43" s="72"/>
      <c r="G43" s="72"/>
      <c r="H43" s="61"/>
      <c r="I43" s="61"/>
      <c r="J43" s="182"/>
      <c r="K43" s="104"/>
      <c r="L43" s="68">
        <v>32.200000000000003</v>
      </c>
      <c r="M43" s="61">
        <f t="shared" si="3"/>
        <v>0</v>
      </c>
      <c r="N43" s="64">
        <f t="shared" si="4"/>
        <v>32.200000000000003</v>
      </c>
      <c r="O43" s="61">
        <f t="shared" si="1"/>
        <v>32.200000000000003</v>
      </c>
      <c r="P43" s="191" t="e">
        <f t="shared" si="2"/>
        <v>#DIV/0!</v>
      </c>
    </row>
    <row r="44" spans="1:16" ht="48" customHeight="1">
      <c r="A44" s="99"/>
      <c r="B44" s="224" t="s">
        <v>544</v>
      </c>
      <c r="C44" s="225"/>
      <c r="D44" s="226"/>
      <c r="E44" s="72"/>
      <c r="F44" s="72"/>
      <c r="G44" s="72"/>
      <c r="H44" s="61"/>
      <c r="I44" s="61"/>
      <c r="J44" s="182"/>
      <c r="K44" s="104"/>
      <c r="L44" s="105">
        <v>225</v>
      </c>
      <c r="M44" s="61">
        <f t="shared" si="3"/>
        <v>0</v>
      </c>
      <c r="N44" s="64">
        <f t="shared" si="4"/>
        <v>225</v>
      </c>
      <c r="O44" s="61">
        <f t="shared" si="1"/>
        <v>225</v>
      </c>
      <c r="P44" s="191" t="e">
        <f t="shared" si="2"/>
        <v>#DIV/0!</v>
      </c>
    </row>
    <row r="45" spans="1:16" ht="48" customHeight="1">
      <c r="A45" s="99"/>
      <c r="B45" s="224" t="s">
        <v>545</v>
      </c>
      <c r="C45" s="225"/>
      <c r="D45" s="226"/>
      <c r="E45" s="72"/>
      <c r="F45" s="72"/>
      <c r="G45" s="72"/>
      <c r="H45" s="68">
        <v>7896.6</v>
      </c>
      <c r="I45" s="61"/>
      <c r="J45" s="182"/>
      <c r="K45" s="104"/>
      <c r="L45" s="68"/>
      <c r="M45" s="61">
        <f t="shared" si="3"/>
        <v>0</v>
      </c>
      <c r="N45" s="64">
        <f t="shared" si="4"/>
        <v>7896.6</v>
      </c>
      <c r="O45" s="61">
        <f t="shared" si="1"/>
        <v>7896.6</v>
      </c>
      <c r="P45" s="191" t="e">
        <f t="shared" si="2"/>
        <v>#DIV/0!</v>
      </c>
    </row>
    <row r="46" spans="1:16" ht="30" customHeight="1">
      <c r="A46" s="99"/>
      <c r="B46" s="224" t="s">
        <v>546</v>
      </c>
      <c r="C46" s="225"/>
      <c r="D46" s="226"/>
      <c r="E46" s="72"/>
      <c r="F46" s="72"/>
      <c r="G46" s="72"/>
      <c r="H46" s="61"/>
      <c r="I46" s="61"/>
      <c r="J46" s="182"/>
      <c r="K46" s="104"/>
      <c r="L46" s="68">
        <v>16.2</v>
      </c>
      <c r="M46" s="61">
        <f t="shared" si="3"/>
        <v>0</v>
      </c>
      <c r="N46" s="64">
        <f t="shared" si="4"/>
        <v>16.2</v>
      </c>
      <c r="O46" s="61">
        <f t="shared" si="1"/>
        <v>16.2</v>
      </c>
      <c r="P46" s="191" t="e">
        <f t="shared" si="2"/>
        <v>#DIV/0!</v>
      </c>
    </row>
    <row r="47" spans="1:16" ht="60" customHeight="1">
      <c r="A47" s="99"/>
      <c r="B47" s="224" t="s">
        <v>547</v>
      </c>
      <c r="C47" s="225"/>
      <c r="D47" s="226"/>
      <c r="E47" s="72"/>
      <c r="F47" s="72"/>
      <c r="G47" s="72"/>
      <c r="H47" s="61"/>
      <c r="I47" s="61"/>
      <c r="J47" s="182"/>
      <c r="K47" s="104"/>
      <c r="L47" s="68">
        <v>218.2</v>
      </c>
      <c r="M47" s="61">
        <f t="shared" si="3"/>
        <v>0</v>
      </c>
      <c r="N47" s="64">
        <f t="shared" si="4"/>
        <v>218.2</v>
      </c>
      <c r="O47" s="61">
        <f t="shared" si="1"/>
        <v>218.2</v>
      </c>
      <c r="P47" s="191" t="e">
        <f t="shared" si="2"/>
        <v>#DIV/0!</v>
      </c>
    </row>
    <row r="48" spans="1:16" ht="48" customHeight="1">
      <c r="A48" s="99"/>
      <c r="B48" s="224" t="s">
        <v>548</v>
      </c>
      <c r="C48" s="225"/>
      <c r="D48" s="226"/>
      <c r="E48" s="72"/>
      <c r="F48" s="72"/>
      <c r="G48" s="72"/>
      <c r="H48" s="61"/>
      <c r="I48" s="61"/>
      <c r="J48" s="182"/>
      <c r="K48" s="104"/>
      <c r="L48" s="68">
        <v>54.7</v>
      </c>
      <c r="M48" s="61">
        <f t="shared" si="3"/>
        <v>0</v>
      </c>
      <c r="N48" s="64">
        <f t="shared" si="4"/>
        <v>54.7</v>
      </c>
      <c r="O48" s="61">
        <f t="shared" si="1"/>
        <v>54.7</v>
      </c>
      <c r="P48" s="191" t="e">
        <f t="shared" si="2"/>
        <v>#DIV/0!</v>
      </c>
    </row>
    <row r="49" spans="1:16" ht="48" customHeight="1">
      <c r="A49" s="99"/>
      <c r="B49" s="224" t="s">
        <v>549</v>
      </c>
      <c r="C49" s="225"/>
      <c r="D49" s="226"/>
      <c r="E49" s="72"/>
      <c r="F49" s="72"/>
      <c r="G49" s="72"/>
      <c r="H49" s="68">
        <v>3225.2</v>
      </c>
      <c r="I49" s="61"/>
      <c r="J49" s="182"/>
      <c r="K49" s="104"/>
      <c r="L49" s="105"/>
      <c r="M49" s="61">
        <f t="shared" si="3"/>
        <v>0</v>
      </c>
      <c r="N49" s="64">
        <f t="shared" si="4"/>
        <v>3225.2</v>
      </c>
      <c r="O49" s="61">
        <f t="shared" si="1"/>
        <v>3225.2</v>
      </c>
      <c r="P49" s="191" t="e">
        <f t="shared" si="2"/>
        <v>#DIV/0!</v>
      </c>
    </row>
    <row r="50" spans="1:16" ht="48" customHeight="1">
      <c r="A50" s="99"/>
      <c r="B50" s="224" t="s">
        <v>550</v>
      </c>
      <c r="C50" s="225"/>
      <c r="D50" s="226"/>
      <c r="E50" s="72"/>
      <c r="F50" s="72"/>
      <c r="G50" s="72"/>
      <c r="H50" s="68">
        <v>29.1</v>
      </c>
      <c r="I50" s="61"/>
      <c r="J50" s="182"/>
      <c r="K50" s="104"/>
      <c r="L50" s="105"/>
      <c r="M50" s="61">
        <f t="shared" si="3"/>
        <v>0</v>
      </c>
      <c r="N50" s="64">
        <f t="shared" si="4"/>
        <v>29.1</v>
      </c>
      <c r="O50" s="61">
        <f t="shared" si="1"/>
        <v>29.1</v>
      </c>
      <c r="P50" s="191" t="e">
        <f t="shared" si="2"/>
        <v>#DIV/0!</v>
      </c>
    </row>
    <row r="51" spans="1:16" ht="34.5" customHeight="1">
      <c r="A51" s="99"/>
      <c r="B51" s="224" t="s">
        <v>551</v>
      </c>
      <c r="C51" s="225"/>
      <c r="D51" s="226"/>
      <c r="E51" s="72"/>
      <c r="F51" s="72"/>
      <c r="G51" s="72"/>
      <c r="H51" s="68">
        <v>1495.1</v>
      </c>
      <c r="I51" s="61"/>
      <c r="J51" s="182"/>
      <c r="K51" s="104"/>
      <c r="L51" s="105"/>
      <c r="M51" s="61">
        <f t="shared" si="3"/>
        <v>0</v>
      </c>
      <c r="N51" s="64">
        <f t="shared" si="4"/>
        <v>1495.1</v>
      </c>
      <c r="O51" s="61">
        <f t="shared" si="1"/>
        <v>1495.1</v>
      </c>
      <c r="P51" s="191" t="e">
        <f t="shared" si="2"/>
        <v>#DIV/0!</v>
      </c>
    </row>
    <row r="52" spans="1:16" ht="48" customHeight="1">
      <c r="A52" s="99"/>
      <c r="B52" s="224" t="s">
        <v>552</v>
      </c>
      <c r="C52" s="225"/>
      <c r="D52" s="226"/>
      <c r="E52" s="72"/>
      <c r="F52" s="72"/>
      <c r="G52" s="72"/>
      <c r="H52" s="68">
        <v>242.5</v>
      </c>
      <c r="I52" s="61"/>
      <c r="J52" s="182"/>
      <c r="K52" s="104"/>
      <c r="L52" s="105"/>
      <c r="M52" s="61">
        <f t="shared" si="3"/>
        <v>0</v>
      </c>
      <c r="N52" s="64">
        <f t="shared" si="4"/>
        <v>242.5</v>
      </c>
      <c r="O52" s="61">
        <f t="shared" si="1"/>
        <v>242.5</v>
      </c>
      <c r="P52" s="191" t="e">
        <f t="shared" si="2"/>
        <v>#DIV/0!</v>
      </c>
    </row>
    <row r="53" spans="1:16" ht="34.5" customHeight="1">
      <c r="A53" s="99"/>
      <c r="B53" s="224" t="s">
        <v>553</v>
      </c>
      <c r="C53" s="225"/>
      <c r="D53" s="226"/>
      <c r="E53" s="72"/>
      <c r="F53" s="72"/>
      <c r="G53" s="72"/>
      <c r="H53" s="68">
        <v>242.5</v>
      </c>
      <c r="I53" s="61"/>
      <c r="J53" s="182"/>
      <c r="K53" s="104"/>
      <c r="L53" s="105"/>
      <c r="M53" s="61">
        <f t="shared" si="3"/>
        <v>0</v>
      </c>
      <c r="N53" s="64">
        <f t="shared" si="4"/>
        <v>242.5</v>
      </c>
      <c r="O53" s="61">
        <f t="shared" si="1"/>
        <v>242.5</v>
      </c>
      <c r="P53" s="191" t="e">
        <f t="shared" si="2"/>
        <v>#DIV/0!</v>
      </c>
    </row>
    <row r="54" spans="1:16" ht="48" customHeight="1">
      <c r="A54" s="99"/>
      <c r="B54" s="224" t="s">
        <v>554</v>
      </c>
      <c r="C54" s="225"/>
      <c r="D54" s="226"/>
      <c r="E54" s="72"/>
      <c r="F54" s="72"/>
      <c r="G54" s="72"/>
      <c r="H54" s="68">
        <v>60.7</v>
      </c>
      <c r="I54" s="61"/>
      <c r="J54" s="182"/>
      <c r="K54" s="104"/>
      <c r="L54" s="105"/>
      <c r="M54" s="61">
        <f t="shared" si="3"/>
        <v>0</v>
      </c>
      <c r="N54" s="64">
        <f t="shared" si="4"/>
        <v>60.7</v>
      </c>
      <c r="O54" s="61">
        <f t="shared" si="1"/>
        <v>60.7</v>
      </c>
      <c r="P54" s="191" t="e">
        <f t="shared" si="2"/>
        <v>#DIV/0!</v>
      </c>
    </row>
    <row r="55" spans="1:16" ht="48" customHeight="1">
      <c r="A55" s="99"/>
      <c r="B55" s="246" t="s">
        <v>555</v>
      </c>
      <c r="C55" s="247"/>
      <c r="D55" s="248"/>
      <c r="E55" s="72"/>
      <c r="F55" s="72"/>
      <c r="G55" s="72"/>
      <c r="H55" s="68">
        <v>519.29999999999995</v>
      </c>
      <c r="I55" s="61"/>
      <c r="J55" s="182"/>
      <c r="K55" s="104"/>
      <c r="L55" s="105"/>
      <c r="M55" s="61">
        <f t="shared" si="3"/>
        <v>0</v>
      </c>
      <c r="N55" s="64">
        <f t="shared" si="4"/>
        <v>519.29999999999995</v>
      </c>
      <c r="O55" s="61">
        <f t="shared" si="1"/>
        <v>519.29999999999995</v>
      </c>
      <c r="P55" s="191" t="e">
        <f t="shared" si="2"/>
        <v>#DIV/0!</v>
      </c>
    </row>
    <row r="56" spans="1:16" ht="60" customHeight="1">
      <c r="A56" s="99"/>
      <c r="B56" s="224" t="s">
        <v>556</v>
      </c>
      <c r="C56" s="225"/>
      <c r="D56" s="226"/>
      <c r="E56" s="72"/>
      <c r="F56" s="72"/>
      <c r="G56" s="72"/>
      <c r="H56" s="68">
        <v>170.4</v>
      </c>
      <c r="I56" s="61"/>
      <c r="J56" s="182"/>
      <c r="K56" s="104"/>
      <c r="L56" s="105"/>
      <c r="M56" s="61">
        <f t="shared" si="3"/>
        <v>0</v>
      </c>
      <c r="N56" s="64">
        <f t="shared" si="4"/>
        <v>170.4</v>
      </c>
      <c r="O56" s="61">
        <f t="shared" si="1"/>
        <v>170.4</v>
      </c>
      <c r="P56" s="191" t="e">
        <f t="shared" si="2"/>
        <v>#DIV/0!</v>
      </c>
    </row>
    <row r="57" spans="1:16" ht="48" customHeight="1">
      <c r="A57" s="99"/>
      <c r="B57" s="224" t="s">
        <v>557</v>
      </c>
      <c r="C57" s="225"/>
      <c r="D57" s="226"/>
      <c r="E57" s="72"/>
      <c r="F57" s="72"/>
      <c r="G57" s="72"/>
      <c r="H57" s="68">
        <v>939.8</v>
      </c>
      <c r="I57" s="61"/>
      <c r="J57" s="182"/>
      <c r="K57" s="104"/>
      <c r="L57" s="105"/>
      <c r="M57" s="61">
        <f t="shared" si="3"/>
        <v>0</v>
      </c>
      <c r="N57" s="64">
        <f t="shared" si="4"/>
        <v>939.8</v>
      </c>
      <c r="O57" s="61">
        <f t="shared" si="1"/>
        <v>939.8</v>
      </c>
      <c r="P57" s="191" t="e">
        <f t="shared" si="2"/>
        <v>#DIV/0!</v>
      </c>
    </row>
    <row r="58" spans="1:16" ht="33" customHeight="1">
      <c r="A58" s="99"/>
      <c r="B58" s="224" t="s">
        <v>558</v>
      </c>
      <c r="C58" s="225"/>
      <c r="D58" s="226"/>
      <c r="E58" s="72"/>
      <c r="F58" s="72"/>
      <c r="G58" s="72"/>
      <c r="H58" s="68">
        <v>2980</v>
      </c>
      <c r="I58" s="61"/>
      <c r="J58" s="182"/>
      <c r="K58" s="104"/>
      <c r="L58" s="105"/>
      <c r="M58" s="61">
        <f t="shared" si="3"/>
        <v>0</v>
      </c>
      <c r="N58" s="64">
        <f t="shared" si="4"/>
        <v>2980</v>
      </c>
      <c r="O58" s="61">
        <f t="shared" si="1"/>
        <v>2980</v>
      </c>
      <c r="P58" s="191" t="e">
        <f t="shared" si="2"/>
        <v>#DIV/0!</v>
      </c>
    </row>
    <row r="59" spans="1:16" ht="48" customHeight="1">
      <c r="A59" s="99"/>
      <c r="B59" s="224" t="s">
        <v>559</v>
      </c>
      <c r="C59" s="225"/>
      <c r="D59" s="226"/>
      <c r="E59" s="72"/>
      <c r="F59" s="72"/>
      <c r="G59" s="72"/>
      <c r="H59" s="64">
        <v>220.5</v>
      </c>
      <c r="I59" s="61"/>
      <c r="J59" s="5"/>
      <c r="K59" s="104"/>
      <c r="L59" s="105"/>
      <c r="M59" s="61">
        <f t="shared" si="3"/>
        <v>0</v>
      </c>
      <c r="N59" s="64">
        <f t="shared" si="4"/>
        <v>220.5</v>
      </c>
      <c r="O59" s="61">
        <f t="shared" si="1"/>
        <v>220.5</v>
      </c>
      <c r="P59" s="191" t="e">
        <f t="shared" si="2"/>
        <v>#DIV/0!</v>
      </c>
    </row>
    <row r="60" spans="1:16" ht="39" customHeight="1">
      <c r="A60" s="99"/>
      <c r="B60" s="242" t="s">
        <v>217</v>
      </c>
      <c r="C60" s="243"/>
      <c r="D60" s="244"/>
      <c r="E60" s="72"/>
      <c r="F60" s="72"/>
      <c r="G60" s="72"/>
      <c r="H60" s="61"/>
      <c r="I60" s="61"/>
      <c r="J60" s="5"/>
      <c r="K60" s="104"/>
      <c r="L60" s="64">
        <v>162.5</v>
      </c>
      <c r="M60" s="61">
        <f t="shared" si="3"/>
        <v>0</v>
      </c>
      <c r="N60" s="64">
        <f t="shared" si="4"/>
        <v>162.5</v>
      </c>
      <c r="O60" s="61">
        <f t="shared" si="1"/>
        <v>162.5</v>
      </c>
      <c r="P60" s="191" t="e">
        <f t="shared" si="2"/>
        <v>#DIV/0!</v>
      </c>
    </row>
    <row r="61" spans="1:16" ht="48" customHeight="1">
      <c r="A61" s="99"/>
      <c r="B61" s="215" t="s">
        <v>318</v>
      </c>
      <c r="C61" s="216"/>
      <c r="D61" s="217"/>
      <c r="E61" s="72"/>
      <c r="F61" s="72"/>
      <c r="G61" s="72"/>
      <c r="H61" s="61"/>
      <c r="I61" s="61"/>
      <c r="J61" s="5"/>
      <c r="K61" s="104"/>
      <c r="L61" s="105">
        <v>103.9</v>
      </c>
      <c r="M61" s="61">
        <f t="shared" si="3"/>
        <v>0</v>
      </c>
      <c r="N61" s="64">
        <f t="shared" si="4"/>
        <v>103.9</v>
      </c>
      <c r="O61" s="61">
        <f t="shared" si="1"/>
        <v>103.9</v>
      </c>
      <c r="P61" s="191" t="e">
        <f t="shared" si="2"/>
        <v>#DIV/0!</v>
      </c>
    </row>
    <row r="62" spans="1:16" ht="48" customHeight="1">
      <c r="A62" s="99"/>
      <c r="B62" s="218" t="s">
        <v>319</v>
      </c>
      <c r="C62" s="219"/>
      <c r="D62" s="220"/>
      <c r="E62" s="72"/>
      <c r="F62" s="72"/>
      <c r="G62" s="72"/>
      <c r="H62" s="61"/>
      <c r="I62" s="61"/>
      <c r="J62" s="5"/>
      <c r="K62" s="104"/>
      <c r="L62" s="105">
        <v>158.6</v>
      </c>
      <c r="M62" s="61">
        <f t="shared" si="3"/>
        <v>0</v>
      </c>
      <c r="N62" s="64">
        <f t="shared" si="4"/>
        <v>158.6</v>
      </c>
      <c r="O62" s="61">
        <f t="shared" si="1"/>
        <v>158.6</v>
      </c>
      <c r="P62" s="191" t="e">
        <f t="shared" si="2"/>
        <v>#DIV/0!</v>
      </c>
    </row>
    <row r="63" spans="1:16" ht="31.5" customHeight="1">
      <c r="A63" s="99"/>
      <c r="B63" s="215" t="s">
        <v>320</v>
      </c>
      <c r="C63" s="216"/>
      <c r="D63" s="217"/>
      <c r="E63" s="72"/>
      <c r="F63" s="72"/>
      <c r="G63" s="72"/>
      <c r="H63" s="61"/>
      <c r="I63" s="61"/>
      <c r="J63" s="5"/>
      <c r="K63" s="104"/>
      <c r="L63" s="105">
        <v>50.4</v>
      </c>
      <c r="M63" s="61">
        <f t="shared" si="3"/>
        <v>0</v>
      </c>
      <c r="N63" s="64">
        <f t="shared" si="4"/>
        <v>50.4</v>
      </c>
      <c r="O63" s="61">
        <f t="shared" si="1"/>
        <v>50.4</v>
      </c>
      <c r="P63" s="191" t="e">
        <f t="shared" si="2"/>
        <v>#DIV/0!</v>
      </c>
    </row>
    <row r="64" spans="1:16" ht="48" customHeight="1">
      <c r="A64" s="99"/>
      <c r="B64" s="215" t="s">
        <v>332</v>
      </c>
      <c r="C64" s="216"/>
      <c r="D64" s="217"/>
      <c r="E64" s="72"/>
      <c r="F64" s="72"/>
      <c r="G64" s="72"/>
      <c r="H64" s="61"/>
      <c r="I64" s="61"/>
      <c r="J64" s="5"/>
      <c r="K64" s="104"/>
      <c r="L64" s="105">
        <v>2022.6</v>
      </c>
      <c r="M64" s="61">
        <f t="shared" si="3"/>
        <v>0</v>
      </c>
      <c r="N64" s="64">
        <f t="shared" si="4"/>
        <v>2022.6</v>
      </c>
      <c r="O64" s="61">
        <f t="shared" si="1"/>
        <v>2022.6</v>
      </c>
      <c r="P64" s="191" t="e">
        <f t="shared" si="2"/>
        <v>#DIV/0!</v>
      </c>
    </row>
    <row r="65" spans="1:16" ht="48" customHeight="1">
      <c r="A65" s="99"/>
      <c r="B65" s="215" t="s">
        <v>333</v>
      </c>
      <c r="C65" s="216"/>
      <c r="D65" s="217"/>
      <c r="E65" s="72"/>
      <c r="F65" s="72"/>
      <c r="G65" s="72"/>
      <c r="H65" s="61"/>
      <c r="I65" s="61"/>
      <c r="J65" s="5"/>
      <c r="K65" s="104"/>
      <c r="L65" s="105">
        <v>455.4</v>
      </c>
      <c r="M65" s="61">
        <f t="shared" si="3"/>
        <v>0</v>
      </c>
      <c r="N65" s="64">
        <f t="shared" si="4"/>
        <v>455.4</v>
      </c>
      <c r="O65" s="61">
        <f t="shared" si="1"/>
        <v>455.4</v>
      </c>
      <c r="P65" s="191" t="e">
        <f t="shared" si="2"/>
        <v>#DIV/0!</v>
      </c>
    </row>
    <row r="66" spans="1:16" ht="33" customHeight="1">
      <c r="A66" s="99"/>
      <c r="B66" s="249" t="s">
        <v>334</v>
      </c>
      <c r="C66" s="250"/>
      <c r="D66" s="251"/>
      <c r="E66" s="72"/>
      <c r="F66" s="72"/>
      <c r="G66" s="72"/>
      <c r="H66" s="61"/>
      <c r="I66" s="61"/>
      <c r="J66" s="5"/>
      <c r="K66" s="104"/>
      <c r="L66" s="105">
        <v>235.3</v>
      </c>
      <c r="M66" s="61">
        <f t="shared" si="3"/>
        <v>0</v>
      </c>
      <c r="N66" s="64">
        <f t="shared" si="4"/>
        <v>235.3</v>
      </c>
      <c r="O66" s="61">
        <f t="shared" si="1"/>
        <v>235.3</v>
      </c>
      <c r="P66" s="191" t="e">
        <f t="shared" si="2"/>
        <v>#DIV/0!</v>
      </c>
    </row>
    <row r="67" spans="1:16" ht="49.5" customHeight="1">
      <c r="A67" s="99"/>
      <c r="B67" s="215" t="s">
        <v>335</v>
      </c>
      <c r="C67" s="216"/>
      <c r="D67" s="217"/>
      <c r="E67" s="64"/>
      <c r="F67" s="64"/>
      <c r="G67" s="64"/>
      <c r="H67" s="64"/>
      <c r="I67" s="64"/>
      <c r="J67" s="5"/>
      <c r="K67" s="105"/>
      <c r="L67" s="105">
        <v>307.5</v>
      </c>
      <c r="M67" s="61">
        <f t="shared" si="3"/>
        <v>0</v>
      </c>
      <c r="N67" s="64">
        <f t="shared" si="4"/>
        <v>307.5</v>
      </c>
      <c r="O67" s="61">
        <f t="shared" si="1"/>
        <v>307.5</v>
      </c>
      <c r="P67" s="190" t="e">
        <f t="shared" si="2"/>
        <v>#DIV/0!</v>
      </c>
    </row>
    <row r="68" spans="1:16" ht="76.5" customHeight="1">
      <c r="A68" s="99"/>
      <c r="B68" s="215" t="s">
        <v>362</v>
      </c>
      <c r="C68" s="216"/>
      <c r="D68" s="217"/>
      <c r="E68" s="64"/>
      <c r="F68" s="64"/>
      <c r="G68" s="64"/>
      <c r="H68" s="64"/>
      <c r="I68" s="64"/>
      <c r="J68" s="5"/>
      <c r="K68" s="105"/>
      <c r="L68" s="105">
        <v>45.7</v>
      </c>
      <c r="M68" s="61">
        <f t="shared" si="3"/>
        <v>0</v>
      </c>
      <c r="N68" s="64">
        <f t="shared" si="4"/>
        <v>45.7</v>
      </c>
      <c r="O68" s="61">
        <f t="shared" si="1"/>
        <v>45.7</v>
      </c>
      <c r="P68" s="190" t="e">
        <f t="shared" si="2"/>
        <v>#DIV/0!</v>
      </c>
    </row>
    <row r="69" spans="1:16" ht="27" customHeight="1">
      <c r="A69" s="99"/>
      <c r="B69" s="215" t="s">
        <v>363</v>
      </c>
      <c r="C69" s="216"/>
      <c r="D69" s="217"/>
      <c r="E69" s="64"/>
      <c r="F69" s="64"/>
      <c r="G69" s="64"/>
      <c r="H69" s="64"/>
      <c r="I69" s="64"/>
      <c r="J69" s="5"/>
      <c r="K69" s="105"/>
      <c r="L69" s="105">
        <v>106.1</v>
      </c>
      <c r="M69" s="61">
        <f t="shared" si="3"/>
        <v>0</v>
      </c>
      <c r="N69" s="64">
        <f t="shared" si="4"/>
        <v>106.1</v>
      </c>
      <c r="O69" s="61">
        <f t="shared" si="1"/>
        <v>106.1</v>
      </c>
      <c r="P69" s="190" t="e">
        <f t="shared" si="2"/>
        <v>#DIV/0!</v>
      </c>
    </row>
    <row r="70" spans="1:16" ht="48" customHeight="1">
      <c r="A70" s="99"/>
      <c r="B70" s="215" t="s">
        <v>364</v>
      </c>
      <c r="C70" s="216"/>
      <c r="D70" s="217"/>
      <c r="E70" s="64"/>
      <c r="F70" s="64"/>
      <c r="G70" s="64"/>
      <c r="H70" s="64"/>
      <c r="I70" s="64"/>
      <c r="J70" s="5"/>
      <c r="K70" s="105"/>
      <c r="L70" s="105">
        <v>341.1</v>
      </c>
      <c r="M70" s="61">
        <f t="shared" si="3"/>
        <v>0</v>
      </c>
      <c r="N70" s="64">
        <f t="shared" si="4"/>
        <v>341.1</v>
      </c>
      <c r="O70" s="61">
        <f t="shared" si="1"/>
        <v>341.1</v>
      </c>
      <c r="P70" s="190" t="e">
        <f t="shared" si="2"/>
        <v>#DIV/0!</v>
      </c>
    </row>
    <row r="71" spans="1:16" ht="30" customHeight="1">
      <c r="A71" s="99"/>
      <c r="B71" s="215" t="s">
        <v>397</v>
      </c>
      <c r="C71" s="216"/>
      <c r="D71" s="217"/>
      <c r="E71" s="64"/>
      <c r="F71" s="64"/>
      <c r="G71" s="64"/>
      <c r="H71" s="64">
        <v>3650</v>
      </c>
      <c r="I71" s="64"/>
      <c r="J71" s="5"/>
      <c r="K71" s="105"/>
      <c r="L71" s="105"/>
      <c r="M71" s="61">
        <f t="shared" si="3"/>
        <v>0</v>
      </c>
      <c r="N71" s="64">
        <f t="shared" si="4"/>
        <v>3650</v>
      </c>
      <c r="O71" s="61">
        <f t="shared" si="1"/>
        <v>3650</v>
      </c>
      <c r="P71" s="190" t="e">
        <f t="shared" si="2"/>
        <v>#DIV/0!</v>
      </c>
    </row>
    <row r="72" spans="1:16" ht="45" customHeight="1">
      <c r="A72" s="99"/>
      <c r="B72" s="215" t="s">
        <v>398</v>
      </c>
      <c r="C72" s="216"/>
      <c r="D72" s="217"/>
      <c r="E72" s="64"/>
      <c r="F72" s="64"/>
      <c r="G72" s="64"/>
      <c r="H72" s="64">
        <v>290</v>
      </c>
      <c r="I72" s="64"/>
      <c r="J72" s="5"/>
      <c r="K72" s="105"/>
      <c r="L72" s="105"/>
      <c r="M72" s="61">
        <f t="shared" si="3"/>
        <v>0</v>
      </c>
      <c r="N72" s="64">
        <f t="shared" si="4"/>
        <v>290</v>
      </c>
      <c r="O72" s="61">
        <f t="shared" ref="O72:O135" si="5">N72-M72</f>
        <v>290</v>
      </c>
      <c r="P72" s="190" t="e">
        <f t="shared" ref="P72:P135" si="6">(N72/M72)*100</f>
        <v>#DIV/0!</v>
      </c>
    </row>
    <row r="73" spans="1:16" ht="33" customHeight="1">
      <c r="A73" s="99"/>
      <c r="B73" s="215" t="s">
        <v>399</v>
      </c>
      <c r="C73" s="216"/>
      <c r="D73" s="217"/>
      <c r="E73" s="64"/>
      <c r="F73" s="64"/>
      <c r="G73" s="64"/>
      <c r="H73" s="64"/>
      <c r="I73" s="64"/>
      <c r="J73" s="5"/>
      <c r="K73" s="105"/>
      <c r="L73" s="105">
        <v>46</v>
      </c>
      <c r="M73" s="61">
        <f t="shared" ref="M73:M136" si="7">E73+G73+I73+K73</f>
        <v>0</v>
      </c>
      <c r="N73" s="64">
        <f t="shared" ref="N73:N136" si="8">F73+H73+J73+L73</f>
        <v>46</v>
      </c>
      <c r="O73" s="61">
        <f t="shared" si="5"/>
        <v>46</v>
      </c>
      <c r="P73" s="190" t="e">
        <f t="shared" si="6"/>
        <v>#DIV/0!</v>
      </c>
    </row>
    <row r="74" spans="1:16" ht="31.5" customHeight="1">
      <c r="A74" s="99"/>
      <c r="B74" s="218" t="s">
        <v>399</v>
      </c>
      <c r="C74" s="219"/>
      <c r="D74" s="220"/>
      <c r="E74" s="64"/>
      <c r="F74" s="64"/>
      <c r="G74" s="64"/>
      <c r="H74" s="64"/>
      <c r="I74" s="64"/>
      <c r="J74" s="5"/>
      <c r="K74" s="105"/>
      <c r="L74" s="105">
        <v>40</v>
      </c>
      <c r="M74" s="61">
        <f t="shared" si="7"/>
        <v>0</v>
      </c>
      <c r="N74" s="64">
        <f t="shared" si="8"/>
        <v>40</v>
      </c>
      <c r="O74" s="61">
        <f t="shared" si="5"/>
        <v>40</v>
      </c>
      <c r="P74" s="190" t="e">
        <f t="shared" si="6"/>
        <v>#DIV/0!</v>
      </c>
    </row>
    <row r="75" spans="1:16" ht="45" customHeight="1">
      <c r="A75" s="99"/>
      <c r="B75" s="215" t="s">
        <v>400</v>
      </c>
      <c r="C75" s="216"/>
      <c r="D75" s="217"/>
      <c r="E75" s="64"/>
      <c r="F75" s="64"/>
      <c r="G75" s="64"/>
      <c r="H75" s="64"/>
      <c r="I75" s="64"/>
      <c r="J75" s="5"/>
      <c r="K75" s="105"/>
      <c r="L75" s="105">
        <v>911.8</v>
      </c>
      <c r="M75" s="61">
        <f t="shared" si="7"/>
        <v>0</v>
      </c>
      <c r="N75" s="64">
        <f t="shared" si="8"/>
        <v>911.8</v>
      </c>
      <c r="O75" s="61">
        <f t="shared" si="5"/>
        <v>911.8</v>
      </c>
      <c r="P75" s="190" t="e">
        <f t="shared" si="6"/>
        <v>#DIV/0!</v>
      </c>
    </row>
    <row r="76" spans="1:16" ht="79.5" customHeight="1">
      <c r="A76" s="101">
        <v>2</v>
      </c>
      <c r="B76" s="213" t="s">
        <v>95</v>
      </c>
      <c r="C76" s="214"/>
      <c r="D76" s="214"/>
      <c r="E76" s="102">
        <f t="shared" ref="E76:K76" si="9">SUM(E77:E148)</f>
        <v>0</v>
      </c>
      <c r="F76" s="102">
        <f t="shared" si="9"/>
        <v>0</v>
      </c>
      <c r="G76" s="102">
        <f t="shared" si="9"/>
        <v>0</v>
      </c>
      <c r="H76" s="102">
        <f t="shared" si="9"/>
        <v>0</v>
      </c>
      <c r="I76" s="102">
        <f t="shared" si="9"/>
        <v>0</v>
      </c>
      <c r="J76" s="181">
        <f t="shared" si="9"/>
        <v>124.4</v>
      </c>
      <c r="K76" s="102">
        <f t="shared" si="9"/>
        <v>0</v>
      </c>
      <c r="L76" s="102">
        <f>SUM(L77:L148)</f>
        <v>660.3000000000003</v>
      </c>
      <c r="M76" s="103">
        <f t="shared" si="7"/>
        <v>0</v>
      </c>
      <c r="N76" s="103">
        <f t="shared" si="8"/>
        <v>784.70000000000027</v>
      </c>
      <c r="O76" s="103">
        <f t="shared" si="5"/>
        <v>784.70000000000027</v>
      </c>
      <c r="P76" s="192" t="e">
        <f t="shared" si="6"/>
        <v>#DIV/0!</v>
      </c>
    </row>
    <row r="77" spans="1:16" ht="33" customHeight="1">
      <c r="A77" s="99"/>
      <c r="B77" s="242" t="s">
        <v>325</v>
      </c>
      <c r="C77" s="243"/>
      <c r="D77" s="244"/>
      <c r="E77" s="61"/>
      <c r="F77" s="61"/>
      <c r="G77" s="61"/>
      <c r="H77" s="61"/>
      <c r="I77" s="61"/>
      <c r="J77" s="4"/>
      <c r="K77" s="104"/>
      <c r="L77" s="105">
        <v>22</v>
      </c>
      <c r="M77" s="61">
        <f t="shared" si="7"/>
        <v>0</v>
      </c>
      <c r="N77" s="64">
        <f t="shared" si="8"/>
        <v>22</v>
      </c>
      <c r="O77" s="61">
        <f t="shared" si="5"/>
        <v>22</v>
      </c>
      <c r="P77" s="191" t="e">
        <f t="shared" si="6"/>
        <v>#DIV/0!</v>
      </c>
    </row>
    <row r="78" spans="1:16" ht="25.5" customHeight="1">
      <c r="A78" s="99"/>
      <c r="B78" s="249" t="s">
        <v>321</v>
      </c>
      <c r="C78" s="250"/>
      <c r="D78" s="251"/>
      <c r="E78" s="61"/>
      <c r="F78" s="61"/>
      <c r="G78" s="61"/>
      <c r="H78" s="61"/>
      <c r="I78" s="61"/>
      <c r="J78" s="4"/>
      <c r="K78" s="104"/>
      <c r="L78" s="105">
        <v>14.6</v>
      </c>
      <c r="M78" s="61">
        <f t="shared" si="7"/>
        <v>0</v>
      </c>
      <c r="N78" s="64">
        <f t="shared" si="8"/>
        <v>14.6</v>
      </c>
      <c r="O78" s="61">
        <f t="shared" si="5"/>
        <v>14.6</v>
      </c>
      <c r="P78" s="191" t="e">
        <f t="shared" si="6"/>
        <v>#DIV/0!</v>
      </c>
    </row>
    <row r="79" spans="1:16" ht="28.5" customHeight="1">
      <c r="A79" s="99"/>
      <c r="B79" s="249" t="s">
        <v>322</v>
      </c>
      <c r="C79" s="250"/>
      <c r="D79" s="251"/>
      <c r="E79" s="61"/>
      <c r="F79" s="61"/>
      <c r="G79" s="61"/>
      <c r="H79" s="61"/>
      <c r="I79" s="61"/>
      <c r="J79" s="4"/>
      <c r="K79" s="104"/>
      <c r="L79" s="105">
        <v>34</v>
      </c>
      <c r="M79" s="61">
        <f t="shared" si="7"/>
        <v>0</v>
      </c>
      <c r="N79" s="64">
        <f t="shared" si="8"/>
        <v>34</v>
      </c>
      <c r="O79" s="61">
        <f t="shared" si="5"/>
        <v>34</v>
      </c>
      <c r="P79" s="191" t="e">
        <f t="shared" si="6"/>
        <v>#DIV/0!</v>
      </c>
    </row>
    <row r="80" spans="1:16" ht="49.5" customHeight="1">
      <c r="A80" s="99"/>
      <c r="B80" s="215" t="s">
        <v>323</v>
      </c>
      <c r="C80" s="216"/>
      <c r="D80" s="217"/>
      <c r="E80" s="61"/>
      <c r="F80" s="61"/>
      <c r="G80" s="61"/>
      <c r="H80" s="61"/>
      <c r="I80" s="61"/>
      <c r="J80" s="4"/>
      <c r="K80" s="104"/>
      <c r="L80" s="105">
        <v>2.8</v>
      </c>
      <c r="M80" s="61">
        <f t="shared" si="7"/>
        <v>0</v>
      </c>
      <c r="N80" s="64">
        <f t="shared" si="8"/>
        <v>2.8</v>
      </c>
      <c r="O80" s="61">
        <f t="shared" si="5"/>
        <v>2.8</v>
      </c>
      <c r="P80" s="191" t="e">
        <f t="shared" si="6"/>
        <v>#DIV/0!</v>
      </c>
    </row>
    <row r="81" spans="1:16" ht="34.5" customHeight="1">
      <c r="A81" s="99"/>
      <c r="B81" s="215" t="s">
        <v>328</v>
      </c>
      <c r="C81" s="216"/>
      <c r="D81" s="217"/>
      <c r="E81" s="64"/>
      <c r="F81" s="64"/>
      <c r="G81" s="64"/>
      <c r="H81" s="64"/>
      <c r="I81" s="64"/>
      <c r="J81" s="5"/>
      <c r="K81" s="105"/>
      <c r="L81" s="105">
        <v>2.7</v>
      </c>
      <c r="M81" s="61">
        <f t="shared" si="7"/>
        <v>0</v>
      </c>
      <c r="N81" s="64">
        <f t="shared" si="8"/>
        <v>2.7</v>
      </c>
      <c r="O81" s="61">
        <f t="shared" si="5"/>
        <v>2.7</v>
      </c>
      <c r="P81" s="190" t="e">
        <f t="shared" si="6"/>
        <v>#DIV/0!</v>
      </c>
    </row>
    <row r="82" spans="1:16" ht="43.5" customHeight="1">
      <c r="A82" s="99"/>
      <c r="B82" s="215" t="s">
        <v>329</v>
      </c>
      <c r="C82" s="216"/>
      <c r="D82" s="217"/>
      <c r="E82" s="64"/>
      <c r="F82" s="64"/>
      <c r="G82" s="64"/>
      <c r="H82" s="64"/>
      <c r="I82" s="64"/>
      <c r="J82" s="5"/>
      <c r="K82" s="105"/>
      <c r="L82" s="105">
        <v>14.2</v>
      </c>
      <c r="M82" s="61">
        <f t="shared" si="7"/>
        <v>0</v>
      </c>
      <c r="N82" s="64">
        <f t="shared" si="8"/>
        <v>14.2</v>
      </c>
      <c r="O82" s="61">
        <f t="shared" si="5"/>
        <v>14.2</v>
      </c>
      <c r="P82" s="190" t="e">
        <f t="shared" si="6"/>
        <v>#DIV/0!</v>
      </c>
    </row>
    <row r="83" spans="1:16" ht="31.5" customHeight="1">
      <c r="A83" s="99"/>
      <c r="B83" s="215" t="s">
        <v>330</v>
      </c>
      <c r="C83" s="216"/>
      <c r="D83" s="217"/>
      <c r="E83" s="64"/>
      <c r="F83" s="64"/>
      <c r="G83" s="64"/>
      <c r="H83" s="64"/>
      <c r="I83" s="64"/>
      <c r="J83" s="5"/>
      <c r="K83" s="105"/>
      <c r="L83" s="105">
        <v>19.600000000000001</v>
      </c>
      <c r="M83" s="61">
        <f t="shared" si="7"/>
        <v>0</v>
      </c>
      <c r="N83" s="64">
        <f t="shared" si="8"/>
        <v>19.600000000000001</v>
      </c>
      <c r="O83" s="61">
        <f t="shared" si="5"/>
        <v>19.600000000000001</v>
      </c>
      <c r="P83" s="190" t="e">
        <f t="shared" si="6"/>
        <v>#DIV/0!</v>
      </c>
    </row>
    <row r="84" spans="1:16" ht="33" customHeight="1">
      <c r="A84" s="99"/>
      <c r="B84" s="215" t="s">
        <v>331</v>
      </c>
      <c r="C84" s="216"/>
      <c r="D84" s="217"/>
      <c r="E84" s="64"/>
      <c r="F84" s="64"/>
      <c r="G84" s="64"/>
      <c r="H84" s="64"/>
      <c r="I84" s="64"/>
      <c r="J84" s="5"/>
      <c r="K84" s="105"/>
      <c r="L84" s="105">
        <v>19.899999999999999</v>
      </c>
      <c r="M84" s="61">
        <f t="shared" si="7"/>
        <v>0</v>
      </c>
      <c r="N84" s="64">
        <f t="shared" si="8"/>
        <v>19.899999999999999</v>
      </c>
      <c r="O84" s="61">
        <f t="shared" si="5"/>
        <v>19.899999999999999</v>
      </c>
      <c r="P84" s="190" t="e">
        <f t="shared" si="6"/>
        <v>#DIV/0!</v>
      </c>
    </row>
    <row r="85" spans="1:16" ht="31.5" customHeight="1">
      <c r="A85" s="99"/>
      <c r="B85" s="215" t="s">
        <v>365</v>
      </c>
      <c r="C85" s="216"/>
      <c r="D85" s="217"/>
      <c r="E85" s="64"/>
      <c r="F85" s="64"/>
      <c r="G85" s="64"/>
      <c r="H85" s="64"/>
      <c r="I85" s="64"/>
      <c r="J85" s="5"/>
      <c r="K85" s="105"/>
      <c r="L85" s="105">
        <v>0.3</v>
      </c>
      <c r="M85" s="61">
        <f t="shared" si="7"/>
        <v>0</v>
      </c>
      <c r="N85" s="64">
        <f t="shared" si="8"/>
        <v>0.3</v>
      </c>
      <c r="O85" s="61">
        <f t="shared" si="5"/>
        <v>0.3</v>
      </c>
      <c r="P85" s="190" t="e">
        <f t="shared" si="6"/>
        <v>#DIV/0!</v>
      </c>
    </row>
    <row r="86" spans="1:16" ht="28.5" customHeight="1">
      <c r="A86" s="99"/>
      <c r="B86" s="215" t="s">
        <v>366</v>
      </c>
      <c r="C86" s="216"/>
      <c r="D86" s="217"/>
      <c r="E86" s="64"/>
      <c r="F86" s="64"/>
      <c r="G86" s="64"/>
      <c r="H86" s="64"/>
      <c r="I86" s="64"/>
      <c r="J86" s="5"/>
      <c r="K86" s="105"/>
      <c r="L86" s="105">
        <v>0.1</v>
      </c>
      <c r="M86" s="61">
        <f t="shared" si="7"/>
        <v>0</v>
      </c>
      <c r="N86" s="64">
        <f t="shared" si="8"/>
        <v>0.1</v>
      </c>
      <c r="O86" s="61">
        <f t="shared" si="5"/>
        <v>0.1</v>
      </c>
      <c r="P86" s="190" t="e">
        <f t="shared" si="6"/>
        <v>#DIV/0!</v>
      </c>
    </row>
    <row r="87" spans="1:16" ht="43.5" customHeight="1">
      <c r="A87" s="99"/>
      <c r="B87" s="215" t="s">
        <v>367</v>
      </c>
      <c r="C87" s="216"/>
      <c r="D87" s="217"/>
      <c r="E87" s="64"/>
      <c r="F87" s="64"/>
      <c r="G87" s="64"/>
      <c r="H87" s="64"/>
      <c r="I87" s="64"/>
      <c r="J87" s="5"/>
      <c r="K87" s="105"/>
      <c r="L87" s="105">
        <v>2</v>
      </c>
      <c r="M87" s="61">
        <f t="shared" si="7"/>
        <v>0</v>
      </c>
      <c r="N87" s="64">
        <f t="shared" si="8"/>
        <v>2</v>
      </c>
      <c r="O87" s="61">
        <f t="shared" si="5"/>
        <v>2</v>
      </c>
      <c r="P87" s="190" t="e">
        <f t="shared" si="6"/>
        <v>#DIV/0!</v>
      </c>
    </row>
    <row r="88" spans="1:16" ht="43.5" customHeight="1">
      <c r="A88" s="99"/>
      <c r="B88" s="215" t="s">
        <v>368</v>
      </c>
      <c r="C88" s="216"/>
      <c r="D88" s="217"/>
      <c r="E88" s="64"/>
      <c r="F88" s="64"/>
      <c r="G88" s="64"/>
      <c r="H88" s="64"/>
      <c r="I88" s="64"/>
      <c r="J88" s="5">
        <v>2</v>
      </c>
      <c r="K88" s="105"/>
      <c r="L88" s="105"/>
      <c r="M88" s="61">
        <f t="shared" si="7"/>
        <v>0</v>
      </c>
      <c r="N88" s="64">
        <f t="shared" si="8"/>
        <v>2</v>
      </c>
      <c r="O88" s="61">
        <f t="shared" si="5"/>
        <v>2</v>
      </c>
      <c r="P88" s="190" t="e">
        <f t="shared" si="6"/>
        <v>#DIV/0!</v>
      </c>
    </row>
    <row r="89" spans="1:16" ht="31.5" customHeight="1">
      <c r="A89" s="99"/>
      <c r="B89" s="215" t="s">
        <v>369</v>
      </c>
      <c r="C89" s="216"/>
      <c r="D89" s="217"/>
      <c r="E89" s="64"/>
      <c r="F89" s="64"/>
      <c r="G89" s="64"/>
      <c r="H89" s="64"/>
      <c r="I89" s="64"/>
      <c r="J89" s="5">
        <v>0.5</v>
      </c>
      <c r="K89" s="105"/>
      <c r="L89" s="105"/>
      <c r="M89" s="61">
        <f t="shared" si="7"/>
        <v>0</v>
      </c>
      <c r="N89" s="64">
        <f t="shared" si="8"/>
        <v>0.5</v>
      </c>
      <c r="O89" s="61">
        <f t="shared" si="5"/>
        <v>0.5</v>
      </c>
      <c r="P89" s="190" t="e">
        <f t="shared" si="6"/>
        <v>#DIV/0!</v>
      </c>
    </row>
    <row r="90" spans="1:16" ht="24" customHeight="1">
      <c r="A90" s="99"/>
      <c r="B90" s="215" t="s">
        <v>370</v>
      </c>
      <c r="C90" s="216"/>
      <c r="D90" s="217"/>
      <c r="E90" s="64"/>
      <c r="F90" s="64"/>
      <c r="G90" s="64"/>
      <c r="H90" s="64"/>
      <c r="I90" s="64"/>
      <c r="J90" s="5">
        <v>0.8</v>
      </c>
      <c r="K90" s="105"/>
      <c r="L90" s="105"/>
      <c r="M90" s="61">
        <f t="shared" si="7"/>
        <v>0</v>
      </c>
      <c r="N90" s="64">
        <f t="shared" si="8"/>
        <v>0.8</v>
      </c>
      <c r="O90" s="61">
        <f t="shared" si="5"/>
        <v>0.8</v>
      </c>
      <c r="P90" s="190" t="e">
        <f t="shared" si="6"/>
        <v>#DIV/0!</v>
      </c>
    </row>
    <row r="91" spans="1:16" ht="43.5" customHeight="1">
      <c r="A91" s="99"/>
      <c r="B91" s="215" t="s">
        <v>371</v>
      </c>
      <c r="C91" s="216"/>
      <c r="D91" s="217"/>
      <c r="E91" s="64"/>
      <c r="F91" s="64"/>
      <c r="G91" s="64"/>
      <c r="H91" s="64"/>
      <c r="I91" s="64"/>
      <c r="J91" s="5">
        <v>1.9</v>
      </c>
      <c r="K91" s="105"/>
      <c r="L91" s="105"/>
      <c r="M91" s="61">
        <f t="shared" si="7"/>
        <v>0</v>
      </c>
      <c r="N91" s="64">
        <f t="shared" si="8"/>
        <v>1.9</v>
      </c>
      <c r="O91" s="61">
        <f t="shared" si="5"/>
        <v>1.9</v>
      </c>
      <c r="P91" s="190" t="e">
        <f t="shared" si="6"/>
        <v>#DIV/0!</v>
      </c>
    </row>
    <row r="92" spans="1:16" ht="34.5" customHeight="1">
      <c r="A92" s="99"/>
      <c r="B92" s="215" t="s">
        <v>372</v>
      </c>
      <c r="C92" s="216"/>
      <c r="D92" s="217"/>
      <c r="E92" s="64"/>
      <c r="F92" s="64"/>
      <c r="G92" s="64"/>
      <c r="H92" s="64"/>
      <c r="I92" s="64"/>
      <c r="J92" s="5"/>
      <c r="K92" s="105"/>
      <c r="L92" s="105">
        <v>4.5</v>
      </c>
      <c r="M92" s="61">
        <f t="shared" si="7"/>
        <v>0</v>
      </c>
      <c r="N92" s="64">
        <f t="shared" si="8"/>
        <v>4.5</v>
      </c>
      <c r="O92" s="61">
        <f t="shared" si="5"/>
        <v>4.5</v>
      </c>
      <c r="P92" s="190" t="e">
        <f t="shared" si="6"/>
        <v>#DIV/0!</v>
      </c>
    </row>
    <row r="93" spans="1:16" ht="43.5" customHeight="1">
      <c r="A93" s="99"/>
      <c r="B93" s="215" t="s">
        <v>373</v>
      </c>
      <c r="C93" s="216"/>
      <c r="D93" s="217"/>
      <c r="E93" s="64"/>
      <c r="F93" s="64"/>
      <c r="G93" s="64"/>
      <c r="H93" s="64"/>
      <c r="I93" s="64"/>
      <c r="J93" s="5"/>
      <c r="K93" s="105"/>
      <c r="L93" s="105">
        <v>2.5</v>
      </c>
      <c r="M93" s="61">
        <f t="shared" si="7"/>
        <v>0</v>
      </c>
      <c r="N93" s="64">
        <f t="shared" si="8"/>
        <v>2.5</v>
      </c>
      <c r="O93" s="61">
        <f t="shared" si="5"/>
        <v>2.5</v>
      </c>
      <c r="P93" s="190" t="e">
        <f t="shared" si="6"/>
        <v>#DIV/0!</v>
      </c>
    </row>
    <row r="94" spans="1:16" ht="30" customHeight="1">
      <c r="A94" s="99"/>
      <c r="B94" s="215" t="s">
        <v>374</v>
      </c>
      <c r="C94" s="216"/>
      <c r="D94" s="217"/>
      <c r="E94" s="64"/>
      <c r="F94" s="64"/>
      <c r="G94" s="64"/>
      <c r="H94" s="64"/>
      <c r="I94" s="64"/>
      <c r="J94" s="5"/>
      <c r="K94" s="105"/>
      <c r="L94" s="105">
        <v>2.1</v>
      </c>
      <c r="M94" s="61">
        <f t="shared" si="7"/>
        <v>0</v>
      </c>
      <c r="N94" s="64">
        <f t="shared" si="8"/>
        <v>2.1</v>
      </c>
      <c r="O94" s="61">
        <f t="shared" si="5"/>
        <v>2.1</v>
      </c>
      <c r="P94" s="190" t="e">
        <f t="shared" si="6"/>
        <v>#DIV/0!</v>
      </c>
    </row>
    <row r="95" spans="1:16" ht="27" customHeight="1">
      <c r="A95" s="99"/>
      <c r="B95" s="215" t="s">
        <v>375</v>
      </c>
      <c r="C95" s="216"/>
      <c r="D95" s="217"/>
      <c r="E95" s="64"/>
      <c r="F95" s="64"/>
      <c r="G95" s="64"/>
      <c r="H95" s="64"/>
      <c r="I95" s="64"/>
      <c r="J95" s="5"/>
      <c r="K95" s="105"/>
      <c r="L95" s="105">
        <v>12</v>
      </c>
      <c r="M95" s="61">
        <f t="shared" si="7"/>
        <v>0</v>
      </c>
      <c r="N95" s="64">
        <f t="shared" si="8"/>
        <v>12</v>
      </c>
      <c r="O95" s="61">
        <f t="shared" si="5"/>
        <v>12</v>
      </c>
      <c r="P95" s="190" t="e">
        <f t="shared" si="6"/>
        <v>#DIV/0!</v>
      </c>
    </row>
    <row r="96" spans="1:16" ht="28.5" customHeight="1">
      <c r="A96" s="99"/>
      <c r="B96" s="215" t="s">
        <v>584</v>
      </c>
      <c r="C96" s="216"/>
      <c r="D96" s="217"/>
      <c r="E96" s="64"/>
      <c r="F96" s="64"/>
      <c r="G96" s="64"/>
      <c r="H96" s="64"/>
      <c r="I96" s="64"/>
      <c r="J96" s="5">
        <v>11.8</v>
      </c>
      <c r="K96" s="105"/>
      <c r="L96" s="105"/>
      <c r="M96" s="61">
        <f t="shared" si="7"/>
        <v>0</v>
      </c>
      <c r="N96" s="64">
        <f t="shared" si="8"/>
        <v>11.8</v>
      </c>
      <c r="O96" s="61">
        <f t="shared" si="5"/>
        <v>11.8</v>
      </c>
      <c r="P96" s="190" t="e">
        <f t="shared" si="6"/>
        <v>#DIV/0!</v>
      </c>
    </row>
    <row r="97" spans="1:16" ht="27" customHeight="1">
      <c r="A97" s="99"/>
      <c r="B97" s="215" t="s">
        <v>376</v>
      </c>
      <c r="C97" s="216"/>
      <c r="D97" s="217"/>
      <c r="E97" s="64"/>
      <c r="F97" s="64"/>
      <c r="G97" s="64"/>
      <c r="H97" s="64"/>
      <c r="I97" s="64"/>
      <c r="J97" s="5">
        <v>12.4</v>
      </c>
      <c r="K97" s="105"/>
      <c r="L97" s="105"/>
      <c r="M97" s="61">
        <f t="shared" si="7"/>
        <v>0</v>
      </c>
      <c r="N97" s="64">
        <f t="shared" si="8"/>
        <v>12.4</v>
      </c>
      <c r="O97" s="61">
        <f t="shared" si="5"/>
        <v>12.4</v>
      </c>
      <c r="P97" s="190" t="e">
        <f t="shared" si="6"/>
        <v>#DIV/0!</v>
      </c>
    </row>
    <row r="98" spans="1:16" ht="43.5" customHeight="1">
      <c r="A98" s="99"/>
      <c r="B98" s="215" t="s">
        <v>377</v>
      </c>
      <c r="C98" s="216"/>
      <c r="D98" s="217"/>
      <c r="E98" s="64"/>
      <c r="F98" s="64"/>
      <c r="G98" s="64"/>
      <c r="H98" s="64"/>
      <c r="I98" s="64"/>
      <c r="J98" s="5">
        <v>14.3</v>
      </c>
      <c r="K98" s="105"/>
      <c r="L98" s="105"/>
      <c r="M98" s="61">
        <f t="shared" si="7"/>
        <v>0</v>
      </c>
      <c r="N98" s="64">
        <f t="shared" si="8"/>
        <v>14.3</v>
      </c>
      <c r="O98" s="61">
        <f t="shared" si="5"/>
        <v>14.3</v>
      </c>
      <c r="P98" s="190" t="e">
        <f t="shared" si="6"/>
        <v>#DIV/0!</v>
      </c>
    </row>
    <row r="99" spans="1:16" ht="43.5" customHeight="1">
      <c r="A99" s="99"/>
      <c r="B99" s="215" t="s">
        <v>378</v>
      </c>
      <c r="C99" s="216"/>
      <c r="D99" s="217"/>
      <c r="E99" s="64"/>
      <c r="F99" s="64"/>
      <c r="G99" s="64"/>
      <c r="H99" s="64"/>
      <c r="I99" s="64"/>
      <c r="J99" s="5">
        <v>19.7</v>
      </c>
      <c r="K99" s="105"/>
      <c r="L99" s="105"/>
      <c r="M99" s="61">
        <f t="shared" si="7"/>
        <v>0</v>
      </c>
      <c r="N99" s="64">
        <f t="shared" si="8"/>
        <v>19.7</v>
      </c>
      <c r="O99" s="61">
        <f t="shared" si="5"/>
        <v>19.7</v>
      </c>
      <c r="P99" s="190" t="e">
        <f t="shared" si="6"/>
        <v>#DIV/0!</v>
      </c>
    </row>
    <row r="100" spans="1:16" ht="30" customHeight="1">
      <c r="A100" s="99"/>
      <c r="B100" s="215" t="s">
        <v>379</v>
      </c>
      <c r="C100" s="216"/>
      <c r="D100" s="217"/>
      <c r="E100" s="64"/>
      <c r="F100" s="64"/>
      <c r="G100" s="64"/>
      <c r="H100" s="64"/>
      <c r="I100" s="64"/>
      <c r="J100" s="183"/>
      <c r="K100" s="105"/>
      <c r="L100" s="47">
        <v>2.7</v>
      </c>
      <c r="M100" s="61">
        <f t="shared" si="7"/>
        <v>0</v>
      </c>
      <c r="N100" s="64">
        <f t="shared" si="8"/>
        <v>2.7</v>
      </c>
      <c r="O100" s="61">
        <f t="shared" si="5"/>
        <v>2.7</v>
      </c>
      <c r="P100" s="190" t="e">
        <f t="shared" si="6"/>
        <v>#DIV/0!</v>
      </c>
    </row>
    <row r="101" spans="1:16" ht="33" customHeight="1">
      <c r="A101" s="99"/>
      <c r="B101" s="215" t="s">
        <v>380</v>
      </c>
      <c r="C101" s="216"/>
      <c r="D101" s="217"/>
      <c r="E101" s="64"/>
      <c r="F101" s="64"/>
      <c r="G101" s="64"/>
      <c r="H101" s="64"/>
      <c r="I101" s="64"/>
      <c r="J101" s="5"/>
      <c r="K101" s="105"/>
      <c r="L101" s="64">
        <v>2.1</v>
      </c>
      <c r="M101" s="61">
        <f t="shared" si="7"/>
        <v>0</v>
      </c>
      <c r="N101" s="64">
        <f t="shared" si="8"/>
        <v>2.1</v>
      </c>
      <c r="O101" s="61">
        <f t="shared" si="5"/>
        <v>2.1</v>
      </c>
      <c r="P101" s="190" t="e">
        <f t="shared" si="6"/>
        <v>#DIV/0!</v>
      </c>
    </row>
    <row r="102" spans="1:16" ht="31.5" customHeight="1">
      <c r="A102" s="99"/>
      <c r="B102" s="215" t="s">
        <v>381</v>
      </c>
      <c r="C102" s="216"/>
      <c r="D102" s="217"/>
      <c r="E102" s="64"/>
      <c r="F102" s="64"/>
      <c r="G102" s="64"/>
      <c r="H102" s="64"/>
      <c r="I102" s="64"/>
      <c r="J102" s="5"/>
      <c r="K102" s="105"/>
      <c r="L102" s="64">
        <v>6.4</v>
      </c>
      <c r="M102" s="61">
        <f t="shared" si="7"/>
        <v>0</v>
      </c>
      <c r="N102" s="64">
        <f t="shared" si="8"/>
        <v>6.4</v>
      </c>
      <c r="O102" s="61">
        <f t="shared" si="5"/>
        <v>6.4</v>
      </c>
      <c r="P102" s="190" t="e">
        <f t="shared" si="6"/>
        <v>#DIV/0!</v>
      </c>
    </row>
    <row r="103" spans="1:16" ht="25.5" customHeight="1">
      <c r="A103" s="99"/>
      <c r="B103" s="215" t="s">
        <v>382</v>
      </c>
      <c r="C103" s="216"/>
      <c r="D103" s="217"/>
      <c r="E103" s="64"/>
      <c r="F103" s="64"/>
      <c r="G103" s="64"/>
      <c r="H103" s="64"/>
      <c r="I103" s="64"/>
      <c r="J103" s="5"/>
      <c r="K103" s="105"/>
      <c r="L103" s="64">
        <v>1.5</v>
      </c>
      <c r="M103" s="61">
        <f t="shared" si="7"/>
        <v>0</v>
      </c>
      <c r="N103" s="64">
        <f t="shared" si="8"/>
        <v>1.5</v>
      </c>
      <c r="O103" s="61">
        <f t="shared" si="5"/>
        <v>1.5</v>
      </c>
      <c r="P103" s="190" t="e">
        <f t="shared" si="6"/>
        <v>#DIV/0!</v>
      </c>
    </row>
    <row r="104" spans="1:16" ht="34.5" customHeight="1">
      <c r="A104" s="99"/>
      <c r="B104" s="215" t="s">
        <v>383</v>
      </c>
      <c r="C104" s="216"/>
      <c r="D104" s="217"/>
      <c r="E104" s="64"/>
      <c r="F104" s="64"/>
      <c r="G104" s="64"/>
      <c r="H104" s="64"/>
      <c r="I104" s="64"/>
      <c r="J104" s="5"/>
      <c r="K104" s="105"/>
      <c r="L104" s="64">
        <v>8</v>
      </c>
      <c r="M104" s="61">
        <f t="shared" si="7"/>
        <v>0</v>
      </c>
      <c r="N104" s="64">
        <f t="shared" si="8"/>
        <v>8</v>
      </c>
      <c r="O104" s="61">
        <f t="shared" si="5"/>
        <v>8</v>
      </c>
      <c r="P104" s="190" t="e">
        <f t="shared" si="6"/>
        <v>#DIV/0!</v>
      </c>
    </row>
    <row r="105" spans="1:16" ht="30" customHeight="1">
      <c r="A105" s="99"/>
      <c r="B105" s="215" t="s">
        <v>384</v>
      </c>
      <c r="C105" s="216"/>
      <c r="D105" s="217"/>
      <c r="E105" s="64"/>
      <c r="F105" s="64"/>
      <c r="G105" s="64"/>
      <c r="H105" s="64"/>
      <c r="I105" s="64"/>
      <c r="J105" s="5"/>
      <c r="K105" s="105"/>
      <c r="L105" s="64">
        <v>13</v>
      </c>
      <c r="M105" s="61">
        <f t="shared" si="7"/>
        <v>0</v>
      </c>
      <c r="N105" s="64">
        <f t="shared" si="8"/>
        <v>13</v>
      </c>
      <c r="O105" s="61">
        <f t="shared" si="5"/>
        <v>13</v>
      </c>
      <c r="P105" s="190" t="e">
        <f t="shared" si="6"/>
        <v>#DIV/0!</v>
      </c>
    </row>
    <row r="106" spans="1:16" ht="31.5" customHeight="1">
      <c r="A106" s="99"/>
      <c r="B106" s="215" t="s">
        <v>384</v>
      </c>
      <c r="C106" s="216"/>
      <c r="D106" s="217"/>
      <c r="E106" s="64"/>
      <c r="F106" s="64"/>
      <c r="G106" s="64"/>
      <c r="H106" s="64"/>
      <c r="I106" s="64"/>
      <c r="J106" s="5"/>
      <c r="K106" s="105"/>
      <c r="L106" s="64">
        <v>4.5999999999999996</v>
      </c>
      <c r="M106" s="61">
        <f t="shared" si="7"/>
        <v>0</v>
      </c>
      <c r="N106" s="64">
        <f t="shared" si="8"/>
        <v>4.5999999999999996</v>
      </c>
      <c r="O106" s="61">
        <f t="shared" si="5"/>
        <v>4.5999999999999996</v>
      </c>
      <c r="P106" s="190" t="e">
        <f t="shared" si="6"/>
        <v>#DIV/0!</v>
      </c>
    </row>
    <row r="107" spans="1:16" ht="30" customHeight="1">
      <c r="A107" s="99"/>
      <c r="B107" s="215" t="s">
        <v>406</v>
      </c>
      <c r="C107" s="216"/>
      <c r="D107" s="217"/>
      <c r="E107" s="64"/>
      <c r="F107" s="64"/>
      <c r="G107" s="64"/>
      <c r="H107" s="64"/>
      <c r="I107" s="64"/>
      <c r="J107" s="5"/>
      <c r="K107" s="105"/>
      <c r="L107" s="47">
        <v>98.7</v>
      </c>
      <c r="M107" s="61">
        <f t="shared" si="7"/>
        <v>0</v>
      </c>
      <c r="N107" s="64">
        <f t="shared" si="8"/>
        <v>98.7</v>
      </c>
      <c r="O107" s="61">
        <f t="shared" si="5"/>
        <v>98.7</v>
      </c>
      <c r="P107" s="190" t="e">
        <f t="shared" si="6"/>
        <v>#DIV/0!</v>
      </c>
    </row>
    <row r="108" spans="1:16" ht="43.5" customHeight="1">
      <c r="A108" s="99"/>
      <c r="B108" s="215" t="s">
        <v>385</v>
      </c>
      <c r="C108" s="216"/>
      <c r="D108" s="217"/>
      <c r="E108" s="64"/>
      <c r="F108" s="64"/>
      <c r="G108" s="64"/>
      <c r="H108" s="64"/>
      <c r="I108" s="64"/>
      <c r="J108" s="5"/>
      <c r="K108" s="105"/>
      <c r="L108" s="105">
        <v>5</v>
      </c>
      <c r="M108" s="61">
        <f t="shared" si="7"/>
        <v>0</v>
      </c>
      <c r="N108" s="64">
        <f t="shared" si="8"/>
        <v>5</v>
      </c>
      <c r="O108" s="61">
        <f t="shared" si="5"/>
        <v>5</v>
      </c>
      <c r="P108" s="190" t="e">
        <f t="shared" si="6"/>
        <v>#DIV/0!</v>
      </c>
    </row>
    <row r="109" spans="1:16" ht="33" customHeight="1">
      <c r="A109" s="99"/>
      <c r="B109" s="215" t="s">
        <v>386</v>
      </c>
      <c r="C109" s="216"/>
      <c r="D109" s="217"/>
      <c r="E109" s="64"/>
      <c r="F109" s="64"/>
      <c r="G109" s="64"/>
      <c r="H109" s="64"/>
      <c r="I109" s="64"/>
      <c r="J109" s="5"/>
      <c r="K109" s="105"/>
      <c r="L109" s="105">
        <v>5</v>
      </c>
      <c r="M109" s="61">
        <f t="shared" si="7"/>
        <v>0</v>
      </c>
      <c r="N109" s="64">
        <f t="shared" si="8"/>
        <v>5</v>
      </c>
      <c r="O109" s="61">
        <f t="shared" si="5"/>
        <v>5</v>
      </c>
      <c r="P109" s="190" t="e">
        <f t="shared" si="6"/>
        <v>#DIV/0!</v>
      </c>
    </row>
    <row r="110" spans="1:16" ht="28.5" customHeight="1">
      <c r="A110" s="99"/>
      <c r="B110" s="215" t="s">
        <v>387</v>
      </c>
      <c r="C110" s="216"/>
      <c r="D110" s="217"/>
      <c r="E110" s="64"/>
      <c r="F110" s="64"/>
      <c r="G110" s="64"/>
      <c r="H110" s="64"/>
      <c r="I110" s="64"/>
      <c r="J110" s="5"/>
      <c r="K110" s="105"/>
      <c r="L110" s="105">
        <v>0.3</v>
      </c>
      <c r="M110" s="61">
        <f t="shared" si="7"/>
        <v>0</v>
      </c>
      <c r="N110" s="64">
        <f t="shared" si="8"/>
        <v>0.3</v>
      </c>
      <c r="O110" s="61">
        <f t="shared" si="5"/>
        <v>0.3</v>
      </c>
      <c r="P110" s="190" t="e">
        <f t="shared" si="6"/>
        <v>#DIV/0!</v>
      </c>
    </row>
    <row r="111" spans="1:16" ht="28.5" customHeight="1">
      <c r="A111" s="99"/>
      <c r="B111" s="218" t="s">
        <v>388</v>
      </c>
      <c r="C111" s="219"/>
      <c r="D111" s="220"/>
      <c r="E111" s="64"/>
      <c r="F111" s="64"/>
      <c r="G111" s="64"/>
      <c r="H111" s="64"/>
      <c r="I111" s="64"/>
      <c r="J111" s="5"/>
      <c r="K111" s="105"/>
      <c r="L111" s="105">
        <v>2.8</v>
      </c>
      <c r="M111" s="61">
        <f t="shared" si="7"/>
        <v>0</v>
      </c>
      <c r="N111" s="64">
        <f t="shared" si="8"/>
        <v>2.8</v>
      </c>
      <c r="O111" s="61">
        <f t="shared" si="5"/>
        <v>2.8</v>
      </c>
      <c r="P111" s="190" t="e">
        <f t="shared" si="6"/>
        <v>#DIV/0!</v>
      </c>
    </row>
    <row r="112" spans="1:16" ht="27" customHeight="1">
      <c r="A112" s="99"/>
      <c r="B112" s="215" t="s">
        <v>389</v>
      </c>
      <c r="C112" s="216"/>
      <c r="D112" s="217"/>
      <c r="E112" s="64"/>
      <c r="F112" s="64"/>
      <c r="G112" s="64"/>
      <c r="H112" s="64"/>
      <c r="I112" s="64"/>
      <c r="J112" s="5"/>
      <c r="K112" s="105"/>
      <c r="L112" s="105">
        <v>3</v>
      </c>
      <c r="M112" s="61">
        <f t="shared" si="7"/>
        <v>0</v>
      </c>
      <c r="N112" s="64">
        <f t="shared" si="8"/>
        <v>3</v>
      </c>
      <c r="O112" s="61">
        <f t="shared" si="5"/>
        <v>3</v>
      </c>
      <c r="P112" s="190" t="e">
        <f t="shared" si="6"/>
        <v>#DIV/0!</v>
      </c>
    </row>
    <row r="113" spans="1:16" ht="27" customHeight="1">
      <c r="A113" s="99"/>
      <c r="B113" s="215" t="s">
        <v>390</v>
      </c>
      <c r="C113" s="216"/>
      <c r="D113" s="217"/>
      <c r="E113" s="64"/>
      <c r="F113" s="64"/>
      <c r="G113" s="64"/>
      <c r="H113" s="64"/>
      <c r="I113" s="64"/>
      <c r="J113" s="5"/>
      <c r="K113" s="105"/>
      <c r="L113" s="105">
        <v>0.5</v>
      </c>
      <c r="M113" s="61">
        <f t="shared" si="7"/>
        <v>0</v>
      </c>
      <c r="N113" s="64">
        <f t="shared" si="8"/>
        <v>0.5</v>
      </c>
      <c r="O113" s="61">
        <f t="shared" si="5"/>
        <v>0.5</v>
      </c>
      <c r="P113" s="190" t="e">
        <f t="shared" si="6"/>
        <v>#DIV/0!</v>
      </c>
    </row>
    <row r="114" spans="1:16" ht="28.5" customHeight="1">
      <c r="A114" s="99"/>
      <c r="B114" s="215" t="s">
        <v>391</v>
      </c>
      <c r="C114" s="216"/>
      <c r="D114" s="217"/>
      <c r="E114" s="64"/>
      <c r="F114" s="64"/>
      <c r="G114" s="64"/>
      <c r="H114" s="64"/>
      <c r="I114" s="64"/>
      <c r="J114" s="5"/>
      <c r="K114" s="105"/>
      <c r="L114" s="105">
        <v>45</v>
      </c>
      <c r="M114" s="61">
        <f t="shared" si="7"/>
        <v>0</v>
      </c>
      <c r="N114" s="64">
        <f t="shared" si="8"/>
        <v>45</v>
      </c>
      <c r="O114" s="61">
        <f t="shared" si="5"/>
        <v>45</v>
      </c>
      <c r="P114" s="190" t="e">
        <f t="shared" si="6"/>
        <v>#DIV/0!</v>
      </c>
    </row>
    <row r="115" spans="1:16" ht="30" customHeight="1">
      <c r="A115" s="99"/>
      <c r="B115" s="215" t="s">
        <v>392</v>
      </c>
      <c r="C115" s="216"/>
      <c r="D115" s="217"/>
      <c r="E115" s="64"/>
      <c r="F115" s="64"/>
      <c r="G115" s="64"/>
      <c r="H115" s="64"/>
      <c r="I115" s="64"/>
      <c r="J115" s="5"/>
      <c r="K115" s="105"/>
      <c r="L115" s="105">
        <v>108</v>
      </c>
      <c r="M115" s="61">
        <f t="shared" si="7"/>
        <v>0</v>
      </c>
      <c r="N115" s="64">
        <f t="shared" si="8"/>
        <v>108</v>
      </c>
      <c r="O115" s="61">
        <f t="shared" si="5"/>
        <v>108</v>
      </c>
      <c r="P115" s="190" t="e">
        <f t="shared" si="6"/>
        <v>#DIV/0!</v>
      </c>
    </row>
    <row r="116" spans="1:16" ht="43.5" customHeight="1">
      <c r="A116" s="99"/>
      <c r="B116" s="215" t="s">
        <v>393</v>
      </c>
      <c r="C116" s="216"/>
      <c r="D116" s="217"/>
      <c r="E116" s="64"/>
      <c r="F116" s="64"/>
      <c r="G116" s="64"/>
      <c r="H116" s="64"/>
      <c r="I116" s="64"/>
      <c r="J116" s="5"/>
      <c r="K116" s="105"/>
      <c r="L116" s="105">
        <v>39</v>
      </c>
      <c r="M116" s="61">
        <f t="shared" si="7"/>
        <v>0</v>
      </c>
      <c r="N116" s="64">
        <f t="shared" si="8"/>
        <v>39</v>
      </c>
      <c r="O116" s="61">
        <f t="shared" si="5"/>
        <v>39</v>
      </c>
      <c r="P116" s="190" t="e">
        <f t="shared" si="6"/>
        <v>#DIV/0!</v>
      </c>
    </row>
    <row r="117" spans="1:16" ht="33" customHeight="1">
      <c r="A117" s="99"/>
      <c r="B117" s="215" t="s">
        <v>394</v>
      </c>
      <c r="C117" s="216"/>
      <c r="D117" s="217"/>
      <c r="E117" s="64"/>
      <c r="F117" s="64"/>
      <c r="G117" s="64"/>
      <c r="H117" s="64"/>
      <c r="I117" s="64"/>
      <c r="J117" s="5"/>
      <c r="K117" s="105"/>
      <c r="L117" s="105">
        <v>3</v>
      </c>
      <c r="M117" s="61">
        <f t="shared" si="7"/>
        <v>0</v>
      </c>
      <c r="N117" s="64">
        <f t="shared" si="8"/>
        <v>3</v>
      </c>
      <c r="O117" s="61">
        <f t="shared" si="5"/>
        <v>3</v>
      </c>
      <c r="P117" s="190" t="e">
        <f t="shared" si="6"/>
        <v>#DIV/0!</v>
      </c>
    </row>
    <row r="118" spans="1:16" ht="43.5" customHeight="1">
      <c r="A118" s="99"/>
      <c r="B118" s="215" t="s">
        <v>395</v>
      </c>
      <c r="C118" s="216"/>
      <c r="D118" s="217"/>
      <c r="E118" s="64"/>
      <c r="F118" s="64"/>
      <c r="G118" s="64"/>
      <c r="H118" s="64"/>
      <c r="I118" s="64"/>
      <c r="J118" s="5"/>
      <c r="K118" s="105"/>
      <c r="L118" s="105">
        <v>4</v>
      </c>
      <c r="M118" s="61">
        <f t="shared" si="7"/>
        <v>0</v>
      </c>
      <c r="N118" s="64">
        <f t="shared" si="8"/>
        <v>4</v>
      </c>
      <c r="O118" s="61">
        <f t="shared" si="5"/>
        <v>4</v>
      </c>
      <c r="P118" s="190" t="e">
        <f t="shared" si="6"/>
        <v>#DIV/0!</v>
      </c>
    </row>
    <row r="119" spans="1:16" ht="31.5" customHeight="1">
      <c r="A119" s="99"/>
      <c r="B119" s="215" t="s">
        <v>396</v>
      </c>
      <c r="C119" s="216"/>
      <c r="D119" s="217"/>
      <c r="E119" s="64"/>
      <c r="F119" s="64"/>
      <c r="G119" s="64"/>
      <c r="H119" s="64"/>
      <c r="I119" s="64"/>
      <c r="J119" s="5"/>
      <c r="K119" s="105"/>
      <c r="L119" s="105">
        <v>0.8</v>
      </c>
      <c r="M119" s="61">
        <f t="shared" si="7"/>
        <v>0</v>
      </c>
      <c r="N119" s="64">
        <f t="shared" si="8"/>
        <v>0.8</v>
      </c>
      <c r="O119" s="61">
        <f t="shared" si="5"/>
        <v>0.8</v>
      </c>
      <c r="P119" s="190" t="e">
        <f t="shared" si="6"/>
        <v>#DIV/0!</v>
      </c>
    </row>
    <row r="120" spans="1:16" ht="31.5" customHeight="1">
      <c r="A120" s="99"/>
      <c r="B120" s="215" t="s">
        <v>376</v>
      </c>
      <c r="C120" s="216"/>
      <c r="D120" s="217"/>
      <c r="E120" s="64"/>
      <c r="F120" s="64"/>
      <c r="G120" s="64"/>
      <c r="H120" s="64"/>
      <c r="I120" s="64"/>
      <c r="J120" s="5">
        <v>11.8</v>
      </c>
      <c r="K120" s="105"/>
      <c r="L120" s="105"/>
      <c r="M120" s="61">
        <f t="shared" si="7"/>
        <v>0</v>
      </c>
      <c r="N120" s="64">
        <f t="shared" si="8"/>
        <v>11.8</v>
      </c>
      <c r="O120" s="61">
        <f t="shared" si="5"/>
        <v>11.8</v>
      </c>
      <c r="P120" s="190" t="e">
        <f t="shared" si="6"/>
        <v>#DIV/0!</v>
      </c>
    </row>
    <row r="121" spans="1:16" ht="31.5" customHeight="1">
      <c r="A121" s="99"/>
      <c r="B121" s="215" t="s">
        <v>401</v>
      </c>
      <c r="C121" s="216"/>
      <c r="D121" s="217"/>
      <c r="E121" s="64"/>
      <c r="F121" s="64"/>
      <c r="G121" s="64"/>
      <c r="H121" s="64"/>
      <c r="I121" s="64"/>
      <c r="J121" s="5">
        <v>7.4</v>
      </c>
      <c r="K121" s="105"/>
      <c r="L121" s="105"/>
      <c r="M121" s="61">
        <f t="shared" si="7"/>
        <v>0</v>
      </c>
      <c r="N121" s="64">
        <f t="shared" si="8"/>
        <v>7.4</v>
      </c>
      <c r="O121" s="61">
        <f t="shared" si="5"/>
        <v>7.4</v>
      </c>
      <c r="P121" s="190" t="e">
        <f t="shared" si="6"/>
        <v>#DIV/0!</v>
      </c>
    </row>
    <row r="122" spans="1:16" ht="27" customHeight="1">
      <c r="A122" s="99"/>
      <c r="B122" s="215" t="s">
        <v>402</v>
      </c>
      <c r="C122" s="216"/>
      <c r="D122" s="217"/>
      <c r="E122" s="64"/>
      <c r="F122" s="64"/>
      <c r="G122" s="64"/>
      <c r="H122" s="64"/>
      <c r="I122" s="64"/>
      <c r="J122" s="5"/>
      <c r="K122" s="105"/>
      <c r="L122" s="105">
        <v>4</v>
      </c>
      <c r="M122" s="61">
        <f t="shared" si="7"/>
        <v>0</v>
      </c>
      <c r="N122" s="64">
        <f t="shared" si="8"/>
        <v>4</v>
      </c>
      <c r="O122" s="61">
        <f t="shared" si="5"/>
        <v>4</v>
      </c>
      <c r="P122" s="190" t="e">
        <f t="shared" si="6"/>
        <v>#DIV/0!</v>
      </c>
    </row>
    <row r="123" spans="1:16" ht="31.5" customHeight="1">
      <c r="A123" s="99"/>
      <c r="B123" s="215" t="s">
        <v>403</v>
      </c>
      <c r="C123" s="216"/>
      <c r="D123" s="217"/>
      <c r="E123" s="64"/>
      <c r="F123" s="64"/>
      <c r="G123" s="64"/>
      <c r="H123" s="64"/>
      <c r="I123" s="64"/>
      <c r="J123" s="5"/>
      <c r="K123" s="105"/>
      <c r="L123" s="105">
        <v>6</v>
      </c>
      <c r="M123" s="61">
        <f t="shared" si="7"/>
        <v>0</v>
      </c>
      <c r="N123" s="64">
        <f t="shared" si="8"/>
        <v>6</v>
      </c>
      <c r="O123" s="61">
        <f t="shared" si="5"/>
        <v>6</v>
      </c>
      <c r="P123" s="190" t="e">
        <f t="shared" si="6"/>
        <v>#DIV/0!</v>
      </c>
    </row>
    <row r="124" spans="1:16" ht="31.5" customHeight="1">
      <c r="A124" s="99"/>
      <c r="B124" s="215" t="s">
        <v>404</v>
      </c>
      <c r="C124" s="216"/>
      <c r="D124" s="217"/>
      <c r="E124" s="64"/>
      <c r="F124" s="64"/>
      <c r="G124" s="64"/>
      <c r="H124" s="64"/>
      <c r="I124" s="64"/>
      <c r="J124" s="5"/>
      <c r="K124" s="105"/>
      <c r="L124" s="105">
        <v>1.2</v>
      </c>
      <c r="M124" s="61">
        <f t="shared" si="7"/>
        <v>0</v>
      </c>
      <c r="N124" s="64">
        <f t="shared" si="8"/>
        <v>1.2</v>
      </c>
      <c r="O124" s="61">
        <f t="shared" si="5"/>
        <v>1.2</v>
      </c>
      <c r="P124" s="190" t="e">
        <f t="shared" si="6"/>
        <v>#DIV/0!</v>
      </c>
    </row>
    <row r="125" spans="1:16" ht="28.5" customHeight="1">
      <c r="A125" s="99"/>
      <c r="B125" s="215" t="s">
        <v>405</v>
      </c>
      <c r="C125" s="216"/>
      <c r="D125" s="217"/>
      <c r="E125" s="64"/>
      <c r="F125" s="64"/>
      <c r="G125" s="64"/>
      <c r="H125" s="64"/>
      <c r="I125" s="64"/>
      <c r="J125" s="5"/>
      <c r="K125" s="105"/>
      <c r="L125" s="105">
        <v>3.2</v>
      </c>
      <c r="M125" s="61">
        <f t="shared" si="7"/>
        <v>0</v>
      </c>
      <c r="N125" s="64">
        <f t="shared" si="8"/>
        <v>3.2</v>
      </c>
      <c r="O125" s="61">
        <f t="shared" si="5"/>
        <v>3.2</v>
      </c>
      <c r="P125" s="190" t="e">
        <f t="shared" si="6"/>
        <v>#DIV/0!</v>
      </c>
    </row>
    <row r="126" spans="1:16" ht="30" customHeight="1">
      <c r="A126" s="99"/>
      <c r="B126" s="215" t="s">
        <v>590</v>
      </c>
      <c r="C126" s="216"/>
      <c r="D126" s="217"/>
      <c r="E126" s="64"/>
      <c r="F126" s="64"/>
      <c r="G126" s="64"/>
      <c r="H126" s="64"/>
      <c r="I126" s="64"/>
      <c r="J126" s="5"/>
      <c r="K126" s="105"/>
      <c r="L126" s="105">
        <v>2.8</v>
      </c>
      <c r="M126" s="61">
        <f t="shared" si="7"/>
        <v>0</v>
      </c>
      <c r="N126" s="64">
        <f t="shared" si="8"/>
        <v>2.8</v>
      </c>
      <c r="O126" s="61">
        <f t="shared" si="5"/>
        <v>2.8</v>
      </c>
      <c r="P126" s="190" t="e">
        <f t="shared" si="6"/>
        <v>#DIV/0!</v>
      </c>
    </row>
    <row r="127" spans="1:16" ht="58.5" customHeight="1">
      <c r="A127" s="99"/>
      <c r="B127" s="224" t="s">
        <v>591</v>
      </c>
      <c r="C127" s="225"/>
      <c r="D127" s="226"/>
      <c r="E127" s="64"/>
      <c r="F127" s="64"/>
      <c r="G127" s="64"/>
      <c r="H127" s="64"/>
      <c r="I127" s="64"/>
      <c r="J127" s="5"/>
      <c r="K127" s="105"/>
      <c r="L127" s="105">
        <v>0.7</v>
      </c>
      <c r="M127" s="61">
        <f t="shared" si="7"/>
        <v>0</v>
      </c>
      <c r="N127" s="64">
        <f t="shared" si="8"/>
        <v>0.7</v>
      </c>
      <c r="O127" s="61">
        <f t="shared" si="5"/>
        <v>0.7</v>
      </c>
      <c r="P127" s="190" t="e">
        <f t="shared" si="6"/>
        <v>#DIV/0!</v>
      </c>
    </row>
    <row r="128" spans="1:16" ht="27" customHeight="1">
      <c r="A128" s="99"/>
      <c r="B128" s="224" t="s">
        <v>566</v>
      </c>
      <c r="C128" s="225"/>
      <c r="D128" s="226"/>
      <c r="E128" s="64"/>
      <c r="F128" s="64"/>
      <c r="G128" s="64"/>
      <c r="H128" s="64"/>
      <c r="I128" s="64"/>
      <c r="J128" s="5"/>
      <c r="K128" s="105"/>
      <c r="L128" s="105">
        <v>0.7</v>
      </c>
      <c r="M128" s="61">
        <f t="shared" si="7"/>
        <v>0</v>
      </c>
      <c r="N128" s="64">
        <f t="shared" si="8"/>
        <v>0.7</v>
      </c>
      <c r="O128" s="61">
        <f t="shared" si="5"/>
        <v>0.7</v>
      </c>
      <c r="P128" s="190" t="e">
        <f t="shared" si="6"/>
        <v>#DIV/0!</v>
      </c>
    </row>
    <row r="129" spans="1:16" ht="28.5" customHeight="1">
      <c r="A129" s="99"/>
      <c r="B129" s="224" t="s">
        <v>567</v>
      </c>
      <c r="C129" s="225"/>
      <c r="D129" s="226"/>
      <c r="E129" s="64"/>
      <c r="F129" s="64"/>
      <c r="G129" s="64"/>
      <c r="H129" s="64"/>
      <c r="I129" s="64"/>
      <c r="J129" s="5"/>
      <c r="K129" s="105"/>
      <c r="L129" s="105">
        <v>2.2999999999999998</v>
      </c>
      <c r="M129" s="61">
        <f t="shared" si="7"/>
        <v>0</v>
      </c>
      <c r="N129" s="64">
        <f t="shared" si="8"/>
        <v>2.2999999999999998</v>
      </c>
      <c r="O129" s="61">
        <f t="shared" si="5"/>
        <v>2.2999999999999998</v>
      </c>
      <c r="P129" s="190" t="e">
        <f t="shared" si="6"/>
        <v>#DIV/0!</v>
      </c>
    </row>
    <row r="130" spans="1:16" ht="25.5" customHeight="1">
      <c r="A130" s="99"/>
      <c r="B130" s="224" t="s">
        <v>592</v>
      </c>
      <c r="C130" s="225"/>
      <c r="D130" s="226"/>
      <c r="E130" s="64"/>
      <c r="F130" s="64"/>
      <c r="G130" s="64"/>
      <c r="H130" s="64"/>
      <c r="I130" s="64"/>
      <c r="J130" s="5"/>
      <c r="K130" s="105"/>
      <c r="L130" s="105">
        <v>0.4</v>
      </c>
      <c r="M130" s="61">
        <f t="shared" si="7"/>
        <v>0</v>
      </c>
      <c r="N130" s="64">
        <f t="shared" si="8"/>
        <v>0.4</v>
      </c>
      <c r="O130" s="61">
        <f t="shared" si="5"/>
        <v>0.4</v>
      </c>
      <c r="P130" s="190" t="e">
        <f t="shared" si="6"/>
        <v>#DIV/0!</v>
      </c>
    </row>
    <row r="131" spans="1:16" ht="27" customHeight="1">
      <c r="A131" s="99"/>
      <c r="B131" s="224" t="s">
        <v>568</v>
      </c>
      <c r="C131" s="225"/>
      <c r="D131" s="226"/>
      <c r="E131" s="64"/>
      <c r="F131" s="64"/>
      <c r="G131" s="64"/>
      <c r="H131" s="64"/>
      <c r="I131" s="64"/>
      <c r="J131" s="5"/>
      <c r="K131" s="105"/>
      <c r="L131" s="105">
        <v>2.2999999999999998</v>
      </c>
      <c r="M131" s="61">
        <f t="shared" si="7"/>
        <v>0</v>
      </c>
      <c r="N131" s="64">
        <f t="shared" si="8"/>
        <v>2.2999999999999998</v>
      </c>
      <c r="O131" s="61">
        <f t="shared" si="5"/>
        <v>2.2999999999999998</v>
      </c>
      <c r="P131" s="190" t="e">
        <f t="shared" si="6"/>
        <v>#DIV/0!</v>
      </c>
    </row>
    <row r="132" spans="1:16" ht="27" customHeight="1">
      <c r="A132" s="99"/>
      <c r="B132" s="224" t="s">
        <v>521</v>
      </c>
      <c r="C132" s="225"/>
      <c r="D132" s="226"/>
      <c r="E132" s="64"/>
      <c r="F132" s="64"/>
      <c r="G132" s="64"/>
      <c r="H132" s="64"/>
      <c r="I132" s="64"/>
      <c r="J132" s="5">
        <v>2.6</v>
      </c>
      <c r="K132" s="105"/>
      <c r="L132" s="105"/>
      <c r="M132" s="61">
        <f t="shared" si="7"/>
        <v>0</v>
      </c>
      <c r="N132" s="64">
        <f t="shared" si="8"/>
        <v>2.6</v>
      </c>
      <c r="O132" s="61">
        <f t="shared" si="5"/>
        <v>2.6</v>
      </c>
      <c r="P132" s="190" t="e">
        <f t="shared" si="6"/>
        <v>#DIV/0!</v>
      </c>
    </row>
    <row r="133" spans="1:16" ht="30" customHeight="1">
      <c r="A133" s="99"/>
      <c r="B133" s="224" t="s">
        <v>522</v>
      </c>
      <c r="C133" s="225"/>
      <c r="D133" s="226"/>
      <c r="E133" s="64"/>
      <c r="F133" s="64"/>
      <c r="G133" s="64"/>
      <c r="H133" s="64"/>
      <c r="I133" s="64"/>
      <c r="J133" s="5">
        <v>3.4</v>
      </c>
      <c r="K133" s="105"/>
      <c r="L133" s="105"/>
      <c r="M133" s="61">
        <f t="shared" si="7"/>
        <v>0</v>
      </c>
      <c r="N133" s="64">
        <f t="shared" si="8"/>
        <v>3.4</v>
      </c>
      <c r="O133" s="61">
        <f t="shared" si="5"/>
        <v>3.4</v>
      </c>
      <c r="P133" s="190" t="e">
        <f t="shared" si="6"/>
        <v>#DIV/0!</v>
      </c>
    </row>
    <row r="134" spans="1:16" ht="25.5" customHeight="1">
      <c r="A134" s="99"/>
      <c r="B134" s="224" t="s">
        <v>523</v>
      </c>
      <c r="C134" s="225"/>
      <c r="D134" s="226"/>
      <c r="E134" s="64"/>
      <c r="F134" s="64"/>
      <c r="G134" s="64"/>
      <c r="H134" s="64"/>
      <c r="I134" s="64"/>
      <c r="J134" s="5">
        <v>2.2000000000000002</v>
      </c>
      <c r="K134" s="105"/>
      <c r="L134" s="105"/>
      <c r="M134" s="61">
        <f t="shared" si="7"/>
        <v>0</v>
      </c>
      <c r="N134" s="64">
        <f t="shared" si="8"/>
        <v>2.2000000000000002</v>
      </c>
      <c r="O134" s="61">
        <f t="shared" si="5"/>
        <v>2.2000000000000002</v>
      </c>
      <c r="P134" s="190" t="e">
        <f t="shared" si="6"/>
        <v>#DIV/0!</v>
      </c>
    </row>
    <row r="135" spans="1:16" ht="30" customHeight="1">
      <c r="A135" s="99"/>
      <c r="B135" s="224" t="s">
        <v>524</v>
      </c>
      <c r="C135" s="225"/>
      <c r="D135" s="226"/>
      <c r="E135" s="64"/>
      <c r="F135" s="64"/>
      <c r="G135" s="64"/>
      <c r="H135" s="64"/>
      <c r="I135" s="64"/>
      <c r="J135" s="5">
        <v>8.5</v>
      </c>
      <c r="K135" s="105"/>
      <c r="L135" s="105"/>
      <c r="M135" s="61">
        <f t="shared" si="7"/>
        <v>0</v>
      </c>
      <c r="N135" s="64">
        <f t="shared" si="8"/>
        <v>8.5</v>
      </c>
      <c r="O135" s="61">
        <f t="shared" si="5"/>
        <v>8.5</v>
      </c>
      <c r="P135" s="190" t="e">
        <f t="shared" si="6"/>
        <v>#DIV/0!</v>
      </c>
    </row>
    <row r="136" spans="1:16" ht="25.5" customHeight="1">
      <c r="A136" s="99"/>
      <c r="B136" s="224" t="s">
        <v>525</v>
      </c>
      <c r="C136" s="225"/>
      <c r="D136" s="226"/>
      <c r="E136" s="64"/>
      <c r="F136" s="64"/>
      <c r="G136" s="64"/>
      <c r="H136" s="64"/>
      <c r="I136" s="64"/>
      <c r="J136" s="5">
        <v>4.5</v>
      </c>
      <c r="K136" s="105"/>
      <c r="L136" s="105"/>
      <c r="M136" s="61">
        <f t="shared" si="7"/>
        <v>0</v>
      </c>
      <c r="N136" s="64">
        <f t="shared" si="8"/>
        <v>4.5</v>
      </c>
      <c r="O136" s="61">
        <f t="shared" ref="O136:O151" si="10">N136-M136</f>
        <v>4.5</v>
      </c>
      <c r="P136" s="190" t="e">
        <f t="shared" ref="P136:P151" si="11">(N136/M136)*100</f>
        <v>#DIV/0!</v>
      </c>
    </row>
    <row r="137" spans="1:16" ht="33" customHeight="1">
      <c r="A137" s="99"/>
      <c r="B137" s="224" t="s">
        <v>526</v>
      </c>
      <c r="C137" s="225"/>
      <c r="D137" s="226"/>
      <c r="E137" s="64"/>
      <c r="F137" s="64"/>
      <c r="G137" s="64"/>
      <c r="H137" s="64"/>
      <c r="I137" s="64"/>
      <c r="J137" s="5"/>
      <c r="K137" s="105"/>
      <c r="L137" s="105">
        <v>4</v>
      </c>
      <c r="M137" s="61">
        <f t="shared" ref="M137:M151" si="12">E137+G137+I137+K137</f>
        <v>0</v>
      </c>
      <c r="N137" s="64">
        <f t="shared" ref="N137:N151" si="13">F137+H137+J137+L137</f>
        <v>4</v>
      </c>
      <c r="O137" s="61">
        <f t="shared" si="10"/>
        <v>4</v>
      </c>
      <c r="P137" s="190" t="e">
        <f t="shared" si="11"/>
        <v>#DIV/0!</v>
      </c>
    </row>
    <row r="138" spans="1:16" ht="30" customHeight="1">
      <c r="A138" s="99"/>
      <c r="B138" s="224" t="s">
        <v>531</v>
      </c>
      <c r="C138" s="225"/>
      <c r="D138" s="226"/>
      <c r="E138" s="64"/>
      <c r="F138" s="64"/>
      <c r="G138" s="64"/>
      <c r="H138" s="64"/>
      <c r="I138" s="64"/>
      <c r="J138" s="5">
        <v>20.6</v>
      </c>
      <c r="K138" s="105"/>
      <c r="L138" s="105"/>
      <c r="M138" s="61">
        <f t="shared" si="12"/>
        <v>0</v>
      </c>
      <c r="N138" s="64">
        <f t="shared" si="13"/>
        <v>20.6</v>
      </c>
      <c r="O138" s="61">
        <f t="shared" si="10"/>
        <v>20.6</v>
      </c>
      <c r="P138" s="190" t="e">
        <f t="shared" si="11"/>
        <v>#DIV/0!</v>
      </c>
    </row>
    <row r="139" spans="1:16" ht="43.5" customHeight="1">
      <c r="A139" s="99"/>
      <c r="B139" s="224" t="s">
        <v>527</v>
      </c>
      <c r="C139" s="225"/>
      <c r="D139" s="226"/>
      <c r="E139" s="64"/>
      <c r="F139" s="64"/>
      <c r="G139" s="64"/>
      <c r="H139" s="64"/>
      <c r="I139" s="64"/>
      <c r="J139" s="5"/>
      <c r="K139" s="105"/>
      <c r="L139" s="105">
        <v>10.9</v>
      </c>
      <c r="M139" s="61">
        <f t="shared" si="12"/>
        <v>0</v>
      </c>
      <c r="N139" s="64">
        <f t="shared" si="13"/>
        <v>10.9</v>
      </c>
      <c r="O139" s="61">
        <f t="shared" si="10"/>
        <v>10.9</v>
      </c>
      <c r="P139" s="190" t="e">
        <f t="shared" si="11"/>
        <v>#DIV/0!</v>
      </c>
    </row>
    <row r="140" spans="1:16" ht="64.5" customHeight="1">
      <c r="A140" s="99"/>
      <c r="B140" s="224" t="s">
        <v>593</v>
      </c>
      <c r="C140" s="225"/>
      <c r="D140" s="226"/>
      <c r="E140" s="64"/>
      <c r="F140" s="64"/>
      <c r="G140" s="64"/>
      <c r="H140" s="64"/>
      <c r="I140" s="64"/>
      <c r="J140" s="5"/>
      <c r="K140" s="105"/>
      <c r="L140" s="105">
        <v>12.7</v>
      </c>
      <c r="M140" s="61">
        <f t="shared" si="12"/>
        <v>0</v>
      </c>
      <c r="N140" s="64">
        <f t="shared" si="13"/>
        <v>12.7</v>
      </c>
      <c r="O140" s="61">
        <f t="shared" si="10"/>
        <v>12.7</v>
      </c>
      <c r="P140" s="190" t="e">
        <f t="shared" si="11"/>
        <v>#DIV/0!</v>
      </c>
    </row>
    <row r="141" spans="1:16" ht="34.5" customHeight="1">
      <c r="A141" s="99"/>
      <c r="B141" s="224" t="s">
        <v>528</v>
      </c>
      <c r="C141" s="225"/>
      <c r="D141" s="226"/>
      <c r="E141" s="64"/>
      <c r="F141" s="64"/>
      <c r="G141" s="64"/>
      <c r="H141" s="64"/>
      <c r="I141" s="64"/>
      <c r="J141" s="5"/>
      <c r="K141" s="105"/>
      <c r="L141" s="105">
        <v>8</v>
      </c>
      <c r="M141" s="61">
        <f t="shared" si="12"/>
        <v>0</v>
      </c>
      <c r="N141" s="64">
        <f t="shared" si="13"/>
        <v>8</v>
      </c>
      <c r="O141" s="61">
        <f t="shared" si="10"/>
        <v>8</v>
      </c>
      <c r="P141" s="190" t="e">
        <f t="shared" si="11"/>
        <v>#DIV/0!</v>
      </c>
    </row>
    <row r="142" spans="1:16" ht="87" customHeight="1">
      <c r="A142" s="99"/>
      <c r="B142" s="224" t="s">
        <v>591</v>
      </c>
      <c r="C142" s="225"/>
      <c r="D142" s="226"/>
      <c r="E142" s="64"/>
      <c r="F142" s="64"/>
      <c r="G142" s="64"/>
      <c r="H142" s="64"/>
      <c r="I142" s="64"/>
      <c r="J142" s="5"/>
      <c r="K142" s="105"/>
      <c r="L142" s="105">
        <v>0.7</v>
      </c>
      <c r="M142" s="61">
        <f t="shared" si="12"/>
        <v>0</v>
      </c>
      <c r="N142" s="64">
        <f t="shared" si="13"/>
        <v>0.7</v>
      </c>
      <c r="O142" s="61">
        <f t="shared" si="10"/>
        <v>0.7</v>
      </c>
      <c r="P142" s="190" t="e">
        <f t="shared" si="11"/>
        <v>#DIV/0!</v>
      </c>
    </row>
    <row r="143" spans="1:16" ht="61.5" customHeight="1">
      <c r="A143" s="99"/>
      <c r="B143" s="224" t="s">
        <v>594</v>
      </c>
      <c r="C143" s="225"/>
      <c r="D143" s="226"/>
      <c r="E143" s="64"/>
      <c r="F143" s="64"/>
      <c r="G143" s="64"/>
      <c r="H143" s="64"/>
      <c r="I143" s="64"/>
      <c r="J143" s="5"/>
      <c r="K143" s="105"/>
      <c r="L143" s="105">
        <v>13.2</v>
      </c>
      <c r="M143" s="61">
        <f t="shared" si="12"/>
        <v>0</v>
      </c>
      <c r="N143" s="64">
        <f t="shared" si="13"/>
        <v>13.2</v>
      </c>
      <c r="O143" s="61">
        <f t="shared" si="10"/>
        <v>13.2</v>
      </c>
      <c r="P143" s="190" t="e">
        <f t="shared" si="11"/>
        <v>#DIV/0!</v>
      </c>
    </row>
    <row r="144" spans="1:16" ht="69" customHeight="1">
      <c r="A144" s="99"/>
      <c r="B144" s="224" t="s">
        <v>532</v>
      </c>
      <c r="C144" s="225"/>
      <c r="D144" s="226"/>
      <c r="E144" s="64"/>
      <c r="F144" s="64"/>
      <c r="G144" s="64"/>
      <c r="H144" s="64"/>
      <c r="I144" s="64"/>
      <c r="J144" s="5"/>
      <c r="K144" s="105"/>
      <c r="L144" s="105">
        <v>31.2</v>
      </c>
      <c r="M144" s="61">
        <f t="shared" si="12"/>
        <v>0</v>
      </c>
      <c r="N144" s="64">
        <f t="shared" si="13"/>
        <v>31.2</v>
      </c>
      <c r="O144" s="61">
        <f t="shared" si="10"/>
        <v>31.2</v>
      </c>
      <c r="P144" s="190" t="e">
        <f t="shared" si="11"/>
        <v>#DIV/0!</v>
      </c>
    </row>
    <row r="145" spans="1:16" ht="60" customHeight="1">
      <c r="A145" s="99"/>
      <c r="B145" s="224" t="s">
        <v>529</v>
      </c>
      <c r="C145" s="225"/>
      <c r="D145" s="226"/>
      <c r="E145" s="64"/>
      <c r="F145" s="64"/>
      <c r="G145" s="64"/>
      <c r="H145" s="64"/>
      <c r="I145" s="64"/>
      <c r="J145" s="5"/>
      <c r="K145" s="105"/>
      <c r="L145" s="105">
        <v>10.7</v>
      </c>
      <c r="M145" s="61">
        <f t="shared" si="12"/>
        <v>0</v>
      </c>
      <c r="N145" s="64">
        <f t="shared" si="13"/>
        <v>10.7</v>
      </c>
      <c r="O145" s="61">
        <f t="shared" si="10"/>
        <v>10.7</v>
      </c>
      <c r="P145" s="190" t="e">
        <f t="shared" si="11"/>
        <v>#DIV/0!</v>
      </c>
    </row>
    <row r="146" spans="1:16" ht="67.5" customHeight="1">
      <c r="A146" s="99"/>
      <c r="B146" s="224" t="s">
        <v>530</v>
      </c>
      <c r="C146" s="225"/>
      <c r="D146" s="226"/>
      <c r="E146" s="64"/>
      <c r="F146" s="64"/>
      <c r="G146" s="64"/>
      <c r="H146" s="64"/>
      <c r="I146" s="64"/>
      <c r="J146" s="5"/>
      <c r="K146" s="105"/>
      <c r="L146" s="105">
        <v>9.1999999999999993</v>
      </c>
      <c r="M146" s="61">
        <f t="shared" si="12"/>
        <v>0</v>
      </c>
      <c r="N146" s="64">
        <f t="shared" si="13"/>
        <v>9.1999999999999993</v>
      </c>
      <c r="O146" s="61">
        <f t="shared" si="10"/>
        <v>9.1999999999999993</v>
      </c>
      <c r="P146" s="190" t="e">
        <f t="shared" si="11"/>
        <v>#DIV/0!</v>
      </c>
    </row>
    <row r="147" spans="1:16" ht="67.5" customHeight="1">
      <c r="A147" s="99"/>
      <c r="B147" s="224" t="s">
        <v>569</v>
      </c>
      <c r="C147" s="225"/>
      <c r="D147" s="226"/>
      <c r="E147" s="61"/>
      <c r="F147" s="61"/>
      <c r="G147" s="64"/>
      <c r="H147" s="64"/>
      <c r="I147" s="64"/>
      <c r="J147" s="5"/>
      <c r="K147" s="105"/>
      <c r="L147" s="105">
        <v>14.1</v>
      </c>
      <c r="M147" s="64">
        <f t="shared" si="12"/>
        <v>0</v>
      </c>
      <c r="N147" s="64">
        <f t="shared" si="13"/>
        <v>14.1</v>
      </c>
      <c r="O147" s="64">
        <f t="shared" si="10"/>
        <v>14.1</v>
      </c>
      <c r="P147" s="190" t="e">
        <f t="shared" si="11"/>
        <v>#DIV/0!</v>
      </c>
    </row>
    <row r="148" spans="1:16" ht="45" customHeight="1">
      <c r="A148" s="99"/>
      <c r="B148" s="253" t="s">
        <v>570</v>
      </c>
      <c r="C148" s="254"/>
      <c r="D148" s="255"/>
      <c r="E148" s="61"/>
      <c r="F148" s="61"/>
      <c r="G148" s="64"/>
      <c r="H148" s="64"/>
      <c r="I148" s="64"/>
      <c r="J148" s="5"/>
      <c r="K148" s="105"/>
      <c r="L148" s="105">
        <v>15.3</v>
      </c>
      <c r="M148" s="64">
        <f t="shared" si="12"/>
        <v>0</v>
      </c>
      <c r="N148" s="64">
        <f t="shared" si="13"/>
        <v>15.3</v>
      </c>
      <c r="O148" s="64">
        <f t="shared" si="10"/>
        <v>15.3</v>
      </c>
      <c r="P148" s="190" t="e">
        <f t="shared" si="11"/>
        <v>#DIV/0!</v>
      </c>
    </row>
    <row r="149" spans="1:16" ht="36" customHeight="1">
      <c r="A149" s="101">
        <v>3</v>
      </c>
      <c r="B149" s="213" t="s">
        <v>596</v>
      </c>
      <c r="C149" s="214"/>
      <c r="D149" s="256"/>
      <c r="E149" s="103">
        <f>E150</f>
        <v>0</v>
      </c>
      <c r="F149" s="103">
        <f t="shared" ref="F149:P149" si="14">F150</f>
        <v>0</v>
      </c>
      <c r="G149" s="103">
        <f t="shared" si="14"/>
        <v>2000</v>
      </c>
      <c r="H149" s="103">
        <f t="shared" si="14"/>
        <v>999.9</v>
      </c>
      <c r="I149" s="103">
        <f t="shared" si="14"/>
        <v>0</v>
      </c>
      <c r="J149" s="1">
        <f t="shared" si="14"/>
        <v>5</v>
      </c>
      <c r="K149" s="103">
        <f t="shared" si="14"/>
        <v>0</v>
      </c>
      <c r="L149" s="103">
        <f t="shared" si="14"/>
        <v>0</v>
      </c>
      <c r="M149" s="103">
        <f t="shared" si="14"/>
        <v>2000</v>
      </c>
      <c r="N149" s="103">
        <f t="shared" si="14"/>
        <v>1004.9</v>
      </c>
      <c r="O149" s="103">
        <f t="shared" si="14"/>
        <v>-995.1</v>
      </c>
      <c r="P149" s="103">
        <f t="shared" si="14"/>
        <v>50.244999999999997</v>
      </c>
    </row>
    <row r="150" spans="1:16" ht="81" customHeight="1">
      <c r="A150" s="99"/>
      <c r="B150" s="242" t="s">
        <v>218</v>
      </c>
      <c r="C150" s="243"/>
      <c r="D150" s="244"/>
      <c r="E150" s="61"/>
      <c r="F150" s="61"/>
      <c r="G150" s="64">
        <v>2000</v>
      </c>
      <c r="H150" s="64">
        <v>999.9</v>
      </c>
      <c r="I150" s="64"/>
      <c r="J150" s="5">
        <v>5</v>
      </c>
      <c r="K150" s="105"/>
      <c r="L150" s="105"/>
      <c r="M150" s="64">
        <f t="shared" si="12"/>
        <v>2000</v>
      </c>
      <c r="N150" s="64">
        <f t="shared" si="13"/>
        <v>1004.9</v>
      </c>
      <c r="O150" s="64">
        <f t="shared" si="10"/>
        <v>-995.1</v>
      </c>
      <c r="P150" s="64">
        <f t="shared" si="11"/>
        <v>50.244999999999997</v>
      </c>
    </row>
    <row r="151" spans="1:16" ht="40.5" customHeight="1">
      <c r="A151" s="240" t="s">
        <v>9</v>
      </c>
      <c r="B151" s="241"/>
      <c r="C151" s="241"/>
      <c r="D151" s="241"/>
      <c r="E151" s="103">
        <f>E7+E76+E147</f>
        <v>0</v>
      </c>
      <c r="F151" s="103">
        <f>F7+F76+F147</f>
        <v>0</v>
      </c>
      <c r="G151" s="103">
        <f>G7+G76+G149</f>
        <v>10744.4</v>
      </c>
      <c r="H151" s="103">
        <f>H7+H76+H149</f>
        <v>23652.800000000003</v>
      </c>
      <c r="I151" s="103">
        <f>I7+I76+I147</f>
        <v>0</v>
      </c>
      <c r="J151" s="1">
        <f>J7+J76+J149</f>
        <v>136.4</v>
      </c>
      <c r="K151" s="103">
        <f>K7+K76+K147</f>
        <v>0</v>
      </c>
      <c r="L151" s="103">
        <f>L7+L76+K149</f>
        <v>8241.9000000000015</v>
      </c>
      <c r="M151" s="103">
        <f t="shared" si="12"/>
        <v>10744.4</v>
      </c>
      <c r="N151" s="103">
        <f t="shared" si="13"/>
        <v>32031.100000000006</v>
      </c>
      <c r="O151" s="103">
        <f t="shared" si="10"/>
        <v>21286.700000000004</v>
      </c>
      <c r="P151" s="103">
        <f t="shared" si="11"/>
        <v>298.11902014072456</v>
      </c>
    </row>
    <row r="152" spans="1:16" ht="20.100000000000001" customHeight="1">
      <c r="A152" s="106"/>
      <c r="B152" s="106"/>
      <c r="C152" s="107"/>
      <c r="D152" s="107"/>
      <c r="E152" s="107"/>
      <c r="F152" s="107"/>
      <c r="G152" s="107"/>
      <c r="H152" s="107"/>
      <c r="I152" s="107"/>
      <c r="J152" s="184"/>
      <c r="K152" s="107"/>
      <c r="L152" s="106"/>
    </row>
    <row r="153" spans="1:16" s="11" customFormat="1" ht="49.5" customHeight="1">
      <c r="B153" s="252" t="s">
        <v>716</v>
      </c>
      <c r="C153" s="252"/>
      <c r="D153" s="252"/>
      <c r="E153" s="252"/>
      <c r="F153" s="108"/>
      <c r="G153" s="238"/>
      <c r="H153" s="238"/>
      <c r="I153" s="238"/>
      <c r="J153" s="185"/>
      <c r="K153" s="209" t="s">
        <v>201</v>
      </c>
      <c r="L153" s="209"/>
      <c r="M153" s="209"/>
    </row>
    <row r="154" spans="1:16" s="2" customFormat="1" ht="19.5" customHeight="1">
      <c r="B154" s="239" t="s">
        <v>10</v>
      </c>
      <c r="C154" s="239"/>
      <c r="D154" s="239"/>
      <c r="E154" s="109"/>
      <c r="F154" s="109"/>
      <c r="G154" s="110"/>
      <c r="H154" s="111" t="s">
        <v>11</v>
      </c>
      <c r="I154" s="110"/>
      <c r="J154" s="186"/>
      <c r="K154" s="239" t="s">
        <v>17</v>
      </c>
      <c r="L154" s="239"/>
      <c r="M154" s="239"/>
    </row>
    <row r="155" spans="1:16" ht="20.100000000000001" customHeight="1">
      <c r="B155" s="112"/>
      <c r="C155" s="112"/>
      <c r="D155" s="112"/>
      <c r="E155" s="113"/>
      <c r="F155" s="113"/>
      <c r="G155" s="113"/>
      <c r="H155" s="113"/>
      <c r="I155" s="113"/>
      <c r="J155" s="187"/>
    </row>
    <row r="156" spans="1:16" ht="20.100000000000001" customHeight="1">
      <c r="B156" s="112"/>
      <c r="C156" s="112"/>
      <c r="D156" s="112"/>
      <c r="E156" s="112"/>
      <c r="F156" s="112"/>
      <c r="G156" s="112"/>
      <c r="H156" s="112"/>
      <c r="I156" s="112"/>
      <c r="J156" s="188"/>
    </row>
    <row r="157" spans="1:16">
      <c r="B157" s="112"/>
      <c r="C157" s="112"/>
      <c r="D157" s="112"/>
      <c r="E157" s="112"/>
      <c r="F157" s="112"/>
      <c r="G157" s="112"/>
      <c r="H157" s="112"/>
      <c r="I157" s="112"/>
      <c r="J157" s="188"/>
    </row>
    <row r="158" spans="1:16" s="237" customFormat="1" ht="19.149999999999999" customHeight="1">
      <c r="A158" s="236" t="s">
        <v>51</v>
      </c>
    </row>
    <row r="161" spans="2:2">
      <c r="B161" s="12"/>
    </row>
    <row r="162" spans="2:2">
      <c r="B162" s="12"/>
    </row>
    <row r="163" spans="2:2">
      <c r="B163" s="12"/>
    </row>
    <row r="164" spans="2:2">
      <c r="B164" s="12"/>
    </row>
    <row r="165" spans="2:2">
      <c r="B165" s="12"/>
    </row>
    <row r="166" spans="2:2">
      <c r="B166" s="12"/>
    </row>
    <row r="167" spans="2:2">
      <c r="B167" s="12"/>
    </row>
  </sheetData>
  <mergeCells count="160">
    <mergeCell ref="B153:E153"/>
    <mergeCell ref="B148:D148"/>
    <mergeCell ref="B149:D149"/>
    <mergeCell ref="B145:D145"/>
    <mergeCell ref="B146:D146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40:D140"/>
    <mergeCell ref="B141:D141"/>
    <mergeCell ref="B142:D142"/>
    <mergeCell ref="B66:D66"/>
    <mergeCell ref="B105:D105"/>
    <mergeCell ref="B127:D127"/>
    <mergeCell ref="B128:D128"/>
    <mergeCell ref="B129:D129"/>
    <mergeCell ref="B130:D130"/>
    <mergeCell ref="B143:D143"/>
    <mergeCell ref="B144:D144"/>
    <mergeCell ref="B98:D98"/>
    <mergeCell ref="B99:D99"/>
    <mergeCell ref="B100:D100"/>
    <mergeCell ref="B101:D101"/>
    <mergeCell ref="B102:D102"/>
    <mergeCell ref="B108:D108"/>
    <mergeCell ref="B91:D91"/>
    <mergeCell ref="B79:D79"/>
    <mergeCell ref="B80:D80"/>
    <mergeCell ref="B90:D90"/>
    <mergeCell ref="B81:D81"/>
    <mergeCell ref="B82:D82"/>
    <mergeCell ref="B83:D83"/>
    <mergeCell ref="B84:D84"/>
    <mergeCell ref="B85:D85"/>
    <mergeCell ref="B78:D78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38:D38"/>
    <mergeCell ref="B39:D39"/>
    <mergeCell ref="B40:D40"/>
    <mergeCell ref="B41:D41"/>
    <mergeCell ref="B42:D42"/>
    <mergeCell ref="B43:D43"/>
    <mergeCell ref="B44:D44"/>
    <mergeCell ref="B45:D45"/>
    <mergeCell ref="B56:D56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77:D77"/>
    <mergeCell ref="B26:D26"/>
    <mergeCell ref="B27:D27"/>
    <mergeCell ref="B28:D28"/>
    <mergeCell ref="B29:D29"/>
    <mergeCell ref="E2:N2"/>
    <mergeCell ref="B126:D126"/>
    <mergeCell ref="B121:D121"/>
    <mergeCell ref="B122:D122"/>
    <mergeCell ref="B123:D123"/>
    <mergeCell ref="B124:D124"/>
    <mergeCell ref="B125:D125"/>
    <mergeCell ref="B119:D119"/>
    <mergeCell ref="B120:D120"/>
    <mergeCell ref="B114:D114"/>
    <mergeCell ref="B115:D115"/>
    <mergeCell ref="B116:D116"/>
    <mergeCell ref="B117:D117"/>
    <mergeCell ref="B118:D118"/>
    <mergeCell ref="B109:D109"/>
    <mergeCell ref="B110:D110"/>
    <mergeCell ref="B107:D107"/>
    <mergeCell ref="B9:D9"/>
    <mergeCell ref="B11:D11"/>
    <mergeCell ref="A158:XFD158"/>
    <mergeCell ref="G153:I153"/>
    <mergeCell ref="K153:M153"/>
    <mergeCell ref="K154:M154"/>
    <mergeCell ref="B154:D154"/>
    <mergeCell ref="B86:D86"/>
    <mergeCell ref="B87:D87"/>
    <mergeCell ref="B88:D88"/>
    <mergeCell ref="B89:D89"/>
    <mergeCell ref="B147:D147"/>
    <mergeCell ref="A151:D151"/>
    <mergeCell ref="B150:D150"/>
    <mergeCell ref="B92:D92"/>
    <mergeCell ref="B93:D93"/>
    <mergeCell ref="B94:D94"/>
    <mergeCell ref="B95:D95"/>
    <mergeCell ref="B96:D96"/>
    <mergeCell ref="B111:D111"/>
    <mergeCell ref="B112:D112"/>
    <mergeCell ref="B113:D113"/>
    <mergeCell ref="B104:D104"/>
    <mergeCell ref="B103:D103"/>
    <mergeCell ref="B106:D106"/>
    <mergeCell ref="B97:D97"/>
    <mergeCell ref="B10:D10"/>
    <mergeCell ref="B13:D13"/>
    <mergeCell ref="B14:D14"/>
    <mergeCell ref="B24:D24"/>
    <mergeCell ref="B25:D25"/>
    <mergeCell ref="M4:P4"/>
    <mergeCell ref="G4:H4"/>
    <mergeCell ref="B6:D6"/>
    <mergeCell ref="K4:L4"/>
    <mergeCell ref="I4:J4"/>
    <mergeCell ref="B4:D5"/>
    <mergeCell ref="E4:F4"/>
    <mergeCell ref="B16:D16"/>
    <mergeCell ref="B17:D17"/>
    <mergeCell ref="B20:D20"/>
    <mergeCell ref="B21:D21"/>
    <mergeCell ref="B22:D22"/>
    <mergeCell ref="B23:D23"/>
    <mergeCell ref="B19:D19"/>
    <mergeCell ref="A4:A5"/>
    <mergeCell ref="B7:D7"/>
    <mergeCell ref="B67:D67"/>
    <mergeCell ref="B76:D76"/>
    <mergeCell ref="B12:D12"/>
    <mergeCell ref="B68:D68"/>
    <mergeCell ref="B69:D69"/>
    <mergeCell ref="B70:D70"/>
    <mergeCell ref="B71:D71"/>
    <mergeCell ref="B72:D72"/>
    <mergeCell ref="B73:D73"/>
    <mergeCell ref="B74:D74"/>
    <mergeCell ref="B75:D75"/>
    <mergeCell ref="B8:D8"/>
    <mergeCell ref="B30:D30"/>
    <mergeCell ref="B31:D31"/>
    <mergeCell ref="B32:D32"/>
    <mergeCell ref="B33:D33"/>
    <mergeCell ref="B34:D34"/>
    <mergeCell ref="B35:D35"/>
    <mergeCell ref="B36:D36"/>
    <mergeCell ref="B37:D37"/>
    <mergeCell ref="B18:D18"/>
    <mergeCell ref="B15:D15"/>
  </mergeCells>
  <phoneticPr fontId="4" type="noConversion"/>
  <pageMargins left="0.39370078740157483" right="0.39370078740157483" top="0.78740157480314965" bottom="0.39370078740157483" header="0.19685039370078741" footer="0.31496062992125984"/>
  <pageSetup paperSize="9" scale="45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12</vt:i4>
      </vt:variant>
    </vt:vector>
  </HeadingPairs>
  <TitlesOfParts>
    <vt:vector size="18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до руху 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до руху 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до руху '!Область_печати</vt:lpstr>
      <vt:lpstr>'Розшифровка за джерелами'!Область_печати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2023-04-03T11:00:15Z</cp:lastPrinted>
  <dcterms:created xsi:type="dcterms:W3CDTF">2003-03-13T16:00:22Z</dcterms:created>
  <dcterms:modified xsi:type="dcterms:W3CDTF">2023-04-03T11:15:58Z</dcterms:modified>
</cp:coreProperties>
</file>